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Warmtenetplan versie 2" sheetId="1" r:id="rId4"/>
    <sheet state="visible" name="Bijlage" sheetId="2" r:id="rId5"/>
  </sheets>
  <definedNames/>
  <calcPr/>
  <extLst>
    <ext uri="GoogleSheetsCustomDataVersion2">
      <go:sheetsCustomData xmlns:go="http://customooxmlschemas.google.com/" r:id="rId6" roundtripDataChecksum="Fv9FqVYyt6kh3BTTMQb3CQkfh/3gENJnWEMzogDH8W4="/>
    </ext>
  </extLst>
</workbook>
</file>

<file path=xl/sharedStrings.xml><?xml version="1.0" encoding="utf-8"?>
<sst xmlns="http://schemas.openxmlformats.org/spreadsheetml/2006/main" count="319" uniqueCount="252">
  <si>
    <t>Warmtenetplan Krugerlaan e.o. Een deel van de cijfers in</t>
  </si>
  <si>
    <t>Dit bestand is niet beveiligd, iedereen kan het kopiëren en een eigen variant maken. FG</t>
  </si>
  <si>
    <t>Deze INDICATIEVE business case hoort bij Plan Warmtenet Krugerlaan e.o., versie 26 jun '23</t>
  </si>
  <si>
    <t xml:space="preserve"> dit bestand komt uit de beide rapporten van DWA.</t>
  </si>
  <si>
    <t>Veel cijfers zijn benaderd en/of afgerond.</t>
  </si>
  <si>
    <t>waarde</t>
  </si>
  <si>
    <t>eenheid</t>
  </si>
  <si>
    <t>bijzonderheden</t>
  </si>
  <si>
    <t>bronnen</t>
  </si>
  <si>
    <t>Techniek</t>
  </si>
  <si>
    <t>Aanvoertemperatuur (nominaal)</t>
  </si>
  <si>
    <t>˚C</t>
  </si>
  <si>
    <t>Thermische Energie uit Oppervlaktewater, met WKO</t>
  </si>
  <si>
    <t>Zie o.m. rapport Startanalyse voor gemeenten, Categorie 2.3.7 Variant S3g. Ook achtergrondrapport.</t>
  </si>
  <si>
    <t>Aantal woningequivalenten</t>
  </si>
  <si>
    <t>WEQ</t>
  </si>
  <si>
    <t>Woning-equivalenten. D.i. ~520 won. + ~4 util. + 220 ZR-Flat</t>
  </si>
  <si>
    <t>CBS en eigen waarneming.</t>
  </si>
  <si>
    <t>noot 1</t>
  </si>
  <si>
    <t>Netverlies</t>
  </si>
  <si>
    <t>%</t>
  </si>
  <si>
    <t>PBL e.a.</t>
  </si>
  <si>
    <t>Gasverbruik in 2022</t>
  </si>
  <si>
    <t>m3/jr</t>
  </si>
  <si>
    <t>Gecorr. voor gem. temp. en kookgas; zie tabblad 'Bijlage'</t>
  </si>
  <si>
    <t>Dit is, omgerekend voor een HR-gasketel met rendement 0,85 op bovenwaarde:</t>
  </si>
  <si>
    <t>GJ</t>
  </si>
  <si>
    <t>Dus warmtevraag per jaar</t>
  </si>
  <si>
    <t>D.i. gem. per WEQ:</t>
  </si>
  <si>
    <t>Benodigde productie incl. verliezen</t>
  </si>
  <si>
    <t>We rekenen echter verder met:</t>
  </si>
  <si>
    <r>
      <rPr>
        <rFont val="Calibri"/>
        <color theme="1"/>
        <sz val="9.0"/>
      </rPr>
      <t>DWA-DP komt op pag. 13, via een andere methode, op 40.570 GJ. Het verschil van 5.500 GJ blijft vooralsnog een</t>
    </r>
    <r>
      <rPr>
        <rFont val="Calibri"/>
        <color rgb="FF7F6000"/>
        <sz val="9.0"/>
      </rPr>
      <t xml:space="preserve"> issue</t>
    </r>
    <r>
      <rPr>
        <rFont val="Calibri"/>
        <color theme="1"/>
        <sz val="9.0"/>
      </rPr>
      <t>.</t>
    </r>
  </si>
  <si>
    <t>Aansluitcap. per won. ruimteverw.</t>
  </si>
  <si>
    <t>kW-th</t>
  </si>
  <si>
    <t>Gelijktijdigheid van deze warmtevraag:</t>
  </si>
  <si>
    <t>Bronnen: RHDHV, Eneco, CE Delft, ISSO, DWA (mogelijk conflicterend)</t>
  </si>
  <si>
    <t>Aansluitcap. per woning tapwater</t>
  </si>
  <si>
    <r>
      <rPr>
        <rFont val="Calibri"/>
        <color theme="1"/>
        <sz val="9.0"/>
      </rPr>
      <t xml:space="preserve">Methode </t>
    </r>
    <r>
      <rPr>
        <rFont val="Calibri"/>
        <color theme="1"/>
        <sz val="9.0"/>
      </rPr>
      <t>√n, d.i. de wortel uit het aantal woningen</t>
    </r>
  </si>
  <si>
    <t>Max. gelijkt. warmtevraag per won.</t>
  </si>
  <si>
    <t>Zie tabblad 'Bijlage' cel M51</t>
  </si>
  <si>
    <t>noot 2</t>
  </si>
  <si>
    <t>Dan WP geïnstalleerd vermogen</t>
  </si>
  <si>
    <t>MW-th</t>
  </si>
  <si>
    <t xml:space="preserve">Cascade van WP's, zie tabblad 'Bijlage' </t>
  </si>
  <si>
    <t>DWA-PD pag. 13</t>
  </si>
  <si>
    <t>Optie: I.p.v. de piek-WP van 2,0 MW-th een houtketel van 2,0 MW-th; zie tabblad 'Bijlage'</t>
  </si>
  <si>
    <t>Geleverd door centrale WP's per jaar</t>
  </si>
  <si>
    <t>Voldoende voor E10</t>
  </si>
  <si>
    <t>Equivalente vollasturen</t>
  </si>
  <si>
    <t>h</t>
  </si>
  <si>
    <t>Gemodelleerd conform SDE++, met piek-warmtepomp</t>
  </si>
  <si>
    <t>Nogal laag, omdat we geen gasketel willen. Wordt veel hoger met een houtketel erbij.</t>
  </si>
  <si>
    <t>Gemodelleerd conform SDE++, met piek-houtketel</t>
  </si>
  <si>
    <t>noot 3</t>
  </si>
  <si>
    <t>Seasonal Performance Factor (SPF)</t>
  </si>
  <si>
    <t>Bij COP onder fabriekscondities:</t>
  </si>
  <si>
    <t>Zie ref. 34 pag. 10</t>
  </si>
  <si>
    <t>RVO, IF, PBL, CE Delft. SPF is de feitelijk gerealiseerde COP over een heel jaar. COP = Coefficient Of Performace.</t>
  </si>
  <si>
    <r>
      <rPr>
        <rFont val="Calibri"/>
        <i/>
        <color theme="1"/>
        <sz val="9.0"/>
      </rPr>
      <t xml:space="preserve">Financiën </t>
    </r>
    <r>
      <rPr>
        <rFont val="Calibri"/>
        <b/>
        <i val="0"/>
        <color rgb="FFFF0000"/>
        <sz val="9.0"/>
      </rPr>
      <t>noot 4</t>
    </r>
  </si>
  <si>
    <t>Levering per WEQ per jaar</t>
  </si>
  <si>
    <t>Vastrecht warmte per WEQ</t>
  </si>
  <si>
    <t>€</t>
  </si>
  <si>
    <t>Excl. Btw, zoals alles in dit schema; incl. set en meting</t>
  </si>
  <si>
    <t>ACM Consumentensite</t>
  </si>
  <si>
    <t>Inclusief warmwater, afleversethuur, meterhuur.</t>
  </si>
  <si>
    <t>Leveringstarief warmte</t>
  </si>
  <si>
    <t>€/GJ</t>
  </si>
  <si>
    <t>Participatiegraad</t>
  </si>
  <si>
    <t>Realistischer wellicht 80% oplopend naar 98% in 5 jaren</t>
  </si>
  <si>
    <t>Bij 80% neemt het resultaat E47 toe met acht jaren</t>
  </si>
  <si>
    <t>Kosten</t>
  </si>
  <si>
    <t>Kengetal investering collectieve WP</t>
  </si>
  <si>
    <t>€/kW-th</t>
  </si>
  <si>
    <t>Per thermische basislast-kW</t>
  </si>
  <si>
    <t>Zie ‘Eindadvies basisbedragen SDE 2021 deel 1’ door Sander Lensink c.s., februari 2021, pagina 42</t>
  </si>
  <si>
    <t>Investering collectieve WP's</t>
  </si>
  <si>
    <t>Investering buffervat</t>
  </si>
  <si>
    <t>Opm.: DWA komt uit op inhoud 400 m3 i.p.v. 1.000 m3</t>
  </si>
  <si>
    <t>Alternatief: kelder onder technische ruimte i.p.v. stalen vat</t>
  </si>
  <si>
    <t>Investering overig productiedeel</t>
  </si>
  <si>
    <t>WKO, pompen, in-/uitlaat oppervlaktewater, gebouwtje</t>
  </si>
  <si>
    <t>RVO, PBL, IF: E23 en E26 samen:</t>
  </si>
  <si>
    <t xml:space="preserve">Dan E24 + E26 = </t>
  </si>
  <si>
    <t>Investering distributienet</t>
  </si>
  <si>
    <t>ECW Handl. 2020, Eneco W&amp;K, RHDHV Basisontwerp 2019</t>
  </si>
  <si>
    <t>eenheidspr. kl. leidingen</t>
  </si>
  <si>
    <t>eenheidspr. grote leidingen</t>
  </si>
  <si>
    <t>gem. prijs/m</t>
  </si>
  <si>
    <t>Verwijdering gasaansluitingen</t>
  </si>
  <si>
    <t>Zie noot 9.</t>
  </si>
  <si>
    <t>RHDHV</t>
  </si>
  <si>
    <r>
      <rPr>
        <rFont val="Calibri"/>
        <color theme="1"/>
        <sz val="9.0"/>
      </rPr>
      <t xml:space="preserve">geschatte netlengte in m: </t>
    </r>
    <r>
      <rPr>
        <rFont val="Calibri"/>
        <color theme="1"/>
        <sz val="9.0"/>
      </rPr>
      <t>↑</t>
    </r>
  </si>
  <si>
    <t>noot 5</t>
  </si>
  <si>
    <t>Investering woningen</t>
  </si>
  <si>
    <t>Afleverset, aftakking, ruimte, aanpassing installaties</t>
  </si>
  <si>
    <t>Template TNO; bijna 30% van de woningen heeft blokverwarming</t>
  </si>
  <si>
    <t>Projectkosten en onvoorzien</t>
  </si>
  <si>
    <t>noot 6</t>
  </si>
  <si>
    <t>TOTAAL investeringen</t>
  </si>
  <si>
    <t>Vgl. PBL 2021_4586_7: 2.318 €/kW d.i.:</t>
  </si>
  <si>
    <t>RVO, PBL, IF en Osborne</t>
  </si>
  <si>
    <t>Maximum in het Trendrapport:</t>
  </si>
  <si>
    <t>DWA-DP: 16.200.000</t>
  </si>
  <si>
    <t>noot 7</t>
  </si>
  <si>
    <t>Kengetal O&amp;M e-verbruik WP</t>
  </si>
  <si>
    <t>€/kWh</t>
  </si>
  <si>
    <t xml:space="preserve">Osborne, RHDHV gebruiken: 0,076 </t>
  </si>
  <si>
    <t>IF gebruikt:</t>
  </si>
  <si>
    <t>O&amp;M e-verbruik WP per jaar</t>
  </si>
  <si>
    <t>MWh</t>
  </si>
  <si>
    <t>Kosten O&amp;M e-verbruik WP per jaar</t>
  </si>
  <si>
    <t>Kosten O&amp;M overig</t>
  </si>
  <si>
    <t>TNO-template: 5% * E28 + 2,5% van E30 + 1% van E24 + E26</t>
  </si>
  <si>
    <t>Vgl. PBL:</t>
  </si>
  <si>
    <t>TOTALE KOSTEN</t>
  </si>
  <si>
    <t>€/jr</t>
  </si>
  <si>
    <r>
      <rPr>
        <rFont val="Calibri"/>
        <color theme="1"/>
        <sz val="9.0"/>
      </rPr>
      <t xml:space="preserve">Valt </t>
    </r>
    <r>
      <rPr>
        <rFont val="Calibri"/>
        <i/>
        <color theme="1"/>
        <sz val="9.0"/>
        <u/>
      </rPr>
      <t>niet</t>
    </r>
    <r>
      <rPr>
        <rFont val="Calibri"/>
        <color theme="1"/>
        <sz val="9.0"/>
      </rPr>
      <t xml:space="preserve"> binnen de marges van het Trendrapport. Te hoog. Vanwege de stroomkosten.</t>
    </r>
  </si>
  <si>
    <t>Inkomsten</t>
  </si>
  <si>
    <t>Kengetal subsidie EIA</t>
  </si>
  <si>
    <t>Niet alles hierboven valt onder criterium 'duurzaam'.</t>
  </si>
  <si>
    <t>Diverse rapporten en factsheets (schatting)</t>
  </si>
  <si>
    <t>Subsidie EIA</t>
  </si>
  <si>
    <t>Eenmalig</t>
  </si>
  <si>
    <t>Zie presentatie RVO bij TKI Urban Energy op 9 jun '23 en TNO - Dashboard eindgebruikerskosten, Technisch achter-grondrapport, hoofdstuk 9.</t>
  </si>
  <si>
    <t>noot 8</t>
  </si>
  <si>
    <t>SDE++, SAH, WIS en overige</t>
  </si>
  <si>
    <t>Ruwe schatting</t>
  </si>
  <si>
    <t>noot 9</t>
  </si>
  <si>
    <t>ISDE</t>
  </si>
  <si>
    <t>Per aansluiting</t>
  </si>
  <si>
    <t>https://www.rvo.nl/subsidie-en-financieringswijzer/isde/woningeigenaren/voorwaarden-woningeigenaren/aansluiting-op-een-warmtenet</t>
  </si>
  <si>
    <t>BAK (bijdrage asl. kosten) of aandeel</t>
  </si>
  <si>
    <t>€/WEQ</t>
  </si>
  <si>
    <t>Eenmalig. BAK is vaak sluitpost van onderhandeling.</t>
  </si>
  <si>
    <t>Netto E43 - E41:</t>
  </si>
  <si>
    <t>Dit bedrag wordt vaak beschouwd als redelijk</t>
  </si>
  <si>
    <t>Opbrengst vastrecht</t>
  </si>
  <si>
    <t>Binnen huidige maximum ACM</t>
  </si>
  <si>
    <t>Opbrengst verkoop warmte</t>
  </si>
  <si>
    <t>TOTALE INKOMSTEN</t>
  </si>
  <si>
    <t>Bedrijfsresultaat project positief:</t>
  </si>
  <si>
    <t>Gedurende de eerste 15 jaren, afgezien van vollooptijd</t>
  </si>
  <si>
    <t>Eenvoudige terugverdientijd (TVT)</t>
  </si>
  <si>
    <t>jr</t>
  </si>
  <si>
    <t>Zie cel J50</t>
  </si>
  <si>
    <t>Over aanvullende financiële evaluatie, zie tabblad 'Bijlage'.</t>
  </si>
  <si>
    <t>noot 10</t>
  </si>
  <si>
    <t>Eigendom van ESCO</t>
  </si>
  <si>
    <t>Overige 50% bij de deelnemende woningeigenaren</t>
  </si>
  <si>
    <t>Dus mogelijk dividenduitkering</t>
  </si>
  <si>
    <t>Een warmtebuffer is een groot geïsoleerd stalen vat, in beton gezet. Een spiraalvormige buis met pomp kan via een gesloten circuit, ook met water, warmte toevoegen bij ruim beschikbaar opwekvermogen, en warmte onttrekken bij extreem hoge vraag. Alternatieven zoals extra opslag in ondergrondse watervoerende lagen of in een bovengrondse container met gemalen basalt (cesar-energystorage.com) zijn nog onvodoende operationeel.</t>
  </si>
  <si>
    <r>
      <rPr>
        <rFont val="Calibri"/>
        <color theme="1"/>
        <sz val="9.0"/>
      </rPr>
      <t xml:space="preserve">Meerdere WP's is in vele opzichten efficiënter dan één grote. </t>
    </r>
    <r>
      <rPr>
        <rFont val="Calibri"/>
        <color rgb="FFBF9000"/>
        <sz val="9.0"/>
      </rPr>
      <t>Zie tabblad 'Bijlage'.</t>
    </r>
  </si>
  <si>
    <t>Seasonal Performance Factor (SPF) is de gemiddelde COP over een heel seizoen. Is dus strenger (lager) dan de onder ideale omstandigheden in de fabriek gemeten COP, maar realistischer. Nieuwste WP heeft COP ~6,0 bij het maken van 30 graden.</t>
  </si>
  <si>
    <t>noot 4</t>
  </si>
  <si>
    <r>
      <rPr>
        <rFont val="Calibri"/>
        <color theme="1"/>
        <sz val="9.0"/>
      </rPr>
      <t>Voor deze wijk normaal (inclusief warmtapwater). Aanvoertemperatuur 70</t>
    </r>
    <r>
      <rPr>
        <rFont val="Calibri"/>
        <color theme="1"/>
        <sz val="9.0"/>
      </rPr>
      <t>˚ nodig.</t>
    </r>
  </si>
  <si>
    <t>Het defaultbedrag in het TNO-template is € 7.500 per woning. In dit bedrag zitten allerlei kosten voor buurtvoorzieningen en aanpassingen in de woning waaronder het geschikt maken van het stelsel van radiatoren binnenshuis en de warmtapwater voorziening. In blok 3 zullen weinig buurtvoorzieningen nodig zijn in vergelijking met andere projecten. Verder zullen aanvullende isolatievoorzieningen (die uiteraard niet voor rekening van het warmtebedrijf komen) de noodzaak van aanpassingen binnenshuis verminderen. Om deze reden is in cel E28 een lager bedrag ingevuld, waardoor het totale investeringsbedrag beter in lijn is met het overeenkomstige bedrag bij andere projecten die reeds eerder zijn beschreven en in enkele gevallen ook uitgevoerd. Inbegrepen is in elk geval wel de afleverset voor verwarming en warmwater en de warmtemeting.</t>
  </si>
  <si>
    <r>
      <rPr>
        <rFont val="Calibri"/>
        <color theme="1"/>
        <sz val="9.0"/>
      </rPr>
      <t xml:space="preserve">Check uitgevoerd met default- en kengetallen in andere rapporten. Het DWA-rapport Project Definitie toont op pagina 17 dat de investering wordt begroot op 16,2 miljoen euro. </t>
    </r>
    <r>
      <rPr>
        <rFont val="Calibri"/>
        <color rgb="FFBF9000"/>
        <sz val="9.0"/>
      </rPr>
      <t>Het verschil met dit bestand dient uiteraard te worden geanalyseerd bij het maken van de gedetailleerde business case.</t>
    </r>
  </si>
  <si>
    <t>Beursprijzen gemiddeld van 1 feb tot 1 jun '23: 0,16 €/kWh; vermeerderd met 0,04 €/kWh kosten leverancier, netbeheerder en belastingen. Gevoelige post.</t>
  </si>
  <si>
    <t>Check met deskundigen. Géén SDE++ indien EIA is toegekend.  Trendrapport noemt € 25 per GJ, dus dat komt neer op € 575.000. Overzicht van financieringsbronnen o.m. bij Energie Samen.</t>
  </si>
  <si>
    <t>Blijft tot 2025 beschikbaar, zij het pas na realisatie van de warmteaansluiting en verwijdering van de gasaansluiting. Wordt aangevraagd door de woningeigenaar.</t>
  </si>
  <si>
    <r>
      <rPr>
        <rFont val="Calibri"/>
        <color theme="1"/>
        <sz val="9.0"/>
      </rPr>
      <t>Voorstel ter bespreking. [</t>
    </r>
    <r>
      <rPr>
        <rFont val="Calibri"/>
        <color theme="1"/>
        <sz val="9.0"/>
      </rPr>
      <t>§]</t>
    </r>
  </si>
  <si>
    <t>[§]</t>
  </si>
  <si>
    <t>GOVERNANCE</t>
  </si>
  <si>
    <t>Oprichting Vennootschap onder Firma 'Warmtenet Krugerlaan' (WK)</t>
  </si>
  <si>
    <t>vennoten zijn de ESCO en het aandeelhouderscollectief ACWK</t>
  </si>
  <si>
    <t>Taken en bevoegdheden ESCO:</t>
  </si>
  <si>
    <t>bedrijfsvoering technisch</t>
  </si>
  <si>
    <t>bedrijfsvoering administratief</t>
  </si>
  <si>
    <t>jaarrekening</t>
  </si>
  <si>
    <t>bestemmen bedrijfsresultaat</t>
  </si>
  <si>
    <t>dekking van eventueel verlies</t>
  </si>
  <si>
    <t>50% stemrecht goedkeuring jaarrekening</t>
  </si>
  <si>
    <t>Taken en bevoegdheden woningeigenaren:</t>
  </si>
  <si>
    <t>medewerking als afnemer</t>
  </si>
  <si>
    <t>deelname in aandeelhouderscollectief ACWK</t>
  </si>
  <si>
    <t>via ACWK 50% stemrecht goedkeuring jaarrek.</t>
  </si>
  <si>
    <t>Bij conflict of impasse bindend oordeel bij RvC met drie leden:</t>
  </si>
  <si>
    <t>één lid aangewezen door ESCO</t>
  </si>
  <si>
    <t>één lid aangewezen door ACWK</t>
  </si>
  <si>
    <t>één lid aangewezen door Gemeente Gouda</t>
  </si>
  <si>
    <t>RvC-leden ontvangen geen vergoeding</t>
  </si>
  <si>
    <t>√</t>
  </si>
  <si>
    <r>
      <rPr>
        <rFont val="Calibri"/>
        <b/>
        <color theme="1"/>
        <sz val="11.0"/>
      </rPr>
      <t xml:space="preserve">Inzet centrale warmtepompen </t>
    </r>
    <r>
      <rPr>
        <rFont val="Calibri"/>
        <b val="0"/>
        <color theme="1"/>
        <sz val="11.0"/>
      </rPr>
      <t>(BT = bedrijfstijd)</t>
    </r>
  </si>
  <si>
    <r>
      <rPr>
        <rFont val="Calibri"/>
        <color theme="1"/>
        <sz val="11.0"/>
      </rPr>
      <t xml:space="preserve">In dit plan zit een groot opslagvat voor warmte. Dit werkt als buffer waardoor het geïnstalleerd vermogen lager kan blijven. De buffer heeft een onttrekkingscapaciteit van 2,0 MWth bij felle winterkou. </t>
    </r>
    <r>
      <rPr>
        <rFont val="Calibri"/>
        <color rgb="FFBF9000"/>
        <sz val="11.0"/>
      </rPr>
      <t>Bijkomende voordelen zijn: betere dispatch, lagere capaciteits- en leveringskosten op het elektriciteitsnet, en lagere warmteverliezen in het warmtenet.</t>
    </r>
  </si>
  <si>
    <t>MWth</t>
  </si>
  <si>
    <t>BT in h</t>
  </si>
  <si>
    <t>GJ/j</t>
  </si>
  <si>
    <t>cascade</t>
  </si>
  <si>
    <t>WP1</t>
  </si>
  <si>
    <t>WP2</t>
  </si>
  <si>
    <t xml:space="preserve">reserveset </t>
  </si>
  <si>
    <t>WP1' en WP2'</t>
  </si>
  <si>
    <t>geïnstalleerd vermogen:</t>
  </si>
  <si>
    <t>geproduceerde warmte:</t>
  </si>
  <si>
    <r>
      <rPr>
        <rFont val="Calibri"/>
        <b/>
        <color theme="1"/>
        <sz val="11.0"/>
      </rPr>
      <t>Deze cascade-configuratie</t>
    </r>
    <r>
      <rPr>
        <rFont val="Calibri"/>
        <color theme="1"/>
        <sz val="11.0"/>
      </rPr>
      <t xml:space="preserve"> biedt de mogelijkheid om bij onderhoud of storingen verschillende (combinaties van) warmtepompen te bedrijven.</t>
    </r>
  </si>
  <si>
    <t>Hierdoor kunnen emissies, geluid en storingstijd worden geminimaliseerd.</t>
  </si>
  <si>
    <t>De precieze keuze van vermogens en inzet van middelen (dispatch) dient o.b.v. de jaarbelastingduurkromme professioneel te worden bepaald.</t>
  </si>
  <si>
    <r>
      <rPr>
        <rFont val="Calibri"/>
        <color rgb="FFBF9000"/>
        <sz val="11.0"/>
      </rPr>
      <t xml:space="preserve">Alternatief voor warmteproductie met uitsluitend WP is de inzet van een </t>
    </r>
    <r>
      <rPr>
        <rFont val="Calibri"/>
        <b/>
        <color rgb="FFBF9000"/>
        <sz val="11.0"/>
      </rPr>
      <t>centrale houtketel, een centrale aardgasketel of kleine WP per woning</t>
    </r>
    <r>
      <rPr>
        <rFont val="Calibri"/>
        <color rgb="FFBF9000"/>
        <sz val="11.0"/>
      </rPr>
      <t>.</t>
    </r>
  </si>
  <si>
    <t>De overwegingen bij deze keuzemogelijkheden hebben we benoemd in het Schetsplan Warmtenet Krugerlaan e.o. Zie ook het volgende punt.</t>
  </si>
  <si>
    <r>
      <rPr>
        <rFont val="Calibri"/>
        <color theme="1"/>
      </rPr>
      <t xml:space="preserve">Een duurzame </t>
    </r>
    <r>
      <rPr>
        <rFont val="Calibri"/>
        <b/>
        <color theme="1"/>
        <sz val="11.0"/>
      </rPr>
      <t>houtketel</t>
    </r>
    <r>
      <rPr>
        <rFont val="Calibri"/>
        <color theme="1"/>
        <sz val="11.0"/>
      </rPr>
      <t xml:space="preserve"> met hetzelfde piekvermogen van 2,7 MW-th vergt een investering van ongeveer € 700.000, net zoiets als een WP van dat vermogen.</t>
    </r>
  </si>
  <si>
    <t>Het jaarlijkse onderhoud zal iets meer kosten dan dat van de WP.</t>
  </si>
  <si>
    <t>De stroomkosten van de WP bedragen momenteel € 160 per uur, de houtpellets en houtchips voor de ketel € 70 per uur.</t>
  </si>
  <si>
    <t>De emissies, w.o. roetdeeltjes en stikstofoxiden, zijn gebonden aan strenge eisen in het Activiteitenbesluit krachtens de Wmb, deel van de Omgevingswet.</t>
  </si>
  <si>
    <t>De CO2-emissie is, eveneens onder strenge duurzaamheidsvoorwaarden (condities van inkoop en bedrijfsvoering) per saldo minimaal.</t>
  </si>
  <si>
    <r>
      <rPr>
        <rFont val="Calibri"/>
        <color rgb="FFBF9000"/>
        <sz val="11.0"/>
      </rPr>
      <t xml:space="preserve">Een plan waarin de </t>
    </r>
    <r>
      <rPr>
        <rFont val="Calibri"/>
        <b/>
        <color rgb="FFBF9000"/>
        <sz val="11.0"/>
      </rPr>
      <t>kosten en opbrengsten</t>
    </r>
    <r>
      <rPr>
        <rFont val="Calibri"/>
        <color rgb="FFBF9000"/>
        <sz val="11.0"/>
      </rPr>
      <t xml:space="preserve"> nauwkeuriger zijn bepaald dan in dit Schetsplan kent meestal een andere evaluatie.</t>
    </r>
  </si>
  <si>
    <t>Eenmalige kosten en opbrengsten worden geactiveerd resp. gepassiveerd en in een jaarreeks uitgerekend.</t>
  </si>
  <si>
    <t>Afhankelijk van de financiering (denk aan de gearing, de rentes, de subsidies) berekent men bijvoorbeeld de Internal Rate of Return IRR.</t>
  </si>
  <si>
    <t>Een investeerder vergelijkt e.e.a. met de eisen die voor deze onderneming gelden, mogelijk aangepast i.v.m. het duurzaamheidsaspect.</t>
  </si>
  <si>
    <t>Een dergelijke benadering lijkt in dit stadium prematuur, maar is uiteraard wel mogelijk.</t>
  </si>
  <si>
    <t>De vergelijking van de verbruikerskosten voor de collectieve voorziening met de huidige (2021) individuele voorziening is hachelijk.</t>
  </si>
  <si>
    <t>Met de nodige kanttekeningen is deze vergelijking echter uiteraard wel mogelijk, ook bij radicaal aardgasloze voorziening.</t>
  </si>
  <si>
    <t>Bijvoorbeeld dat de energietransitie mogelijk in alle varianten enige kostenstijging voor energie meebrengt;</t>
  </si>
  <si>
    <t>maar dat daar t.z.t. ook minder belasting tegenover zal staan vanwege matiging van maatschappelijke kosten.</t>
  </si>
  <si>
    <t>Een tentatieve benadering van de toekomstige kosten voor de consument bij aansluiting op dit warmtenet staat in De Notitie van DWA.</t>
  </si>
  <si>
    <t>Voor de afweging tussen de aardgasloze opties, zie de tekst 'Schetsplan warmtevoorziening Krugerlaan e.o.'.</t>
  </si>
  <si>
    <r>
      <rPr>
        <rFont val="Calibri"/>
        <color theme="1"/>
      </rPr>
      <t>Deze business case heeft een</t>
    </r>
    <r>
      <rPr>
        <rFont val="Calibri"/>
        <color rgb="FFBF9000"/>
        <sz val="11.0"/>
      </rPr>
      <t xml:space="preserve"> '</t>
    </r>
    <r>
      <rPr>
        <rFont val="Calibri"/>
        <b/>
        <color rgb="FFBF9000"/>
        <sz val="11.0"/>
      </rPr>
      <t>downside</t>
    </r>
    <r>
      <rPr>
        <rFont val="Calibri"/>
        <color rgb="FFBF9000"/>
        <sz val="11.0"/>
      </rPr>
      <t>'</t>
    </r>
    <r>
      <rPr>
        <rFont val="Calibri"/>
        <color theme="1"/>
        <sz val="11.0"/>
      </rPr>
      <t>. Tegenvallers kunnen vooral de posten E22 en E28 zijn, zie de alinea hierna.</t>
    </r>
  </si>
  <si>
    <r>
      <rPr>
        <rFont val="Calibri"/>
        <color theme="1"/>
      </rPr>
      <t>Er is echter ook een</t>
    </r>
    <r>
      <rPr>
        <rFont val="Calibri"/>
        <color rgb="FFBF9000"/>
        <sz val="11.0"/>
      </rPr>
      <t xml:space="preserve"> '</t>
    </r>
    <r>
      <rPr>
        <rFont val="Calibri"/>
        <b/>
        <color rgb="FFBF9000"/>
        <sz val="11.0"/>
      </rPr>
      <t>upside</t>
    </r>
    <r>
      <rPr>
        <rFont val="Calibri"/>
        <color rgb="FFBF9000"/>
        <sz val="11.0"/>
      </rPr>
      <t>'</t>
    </r>
    <r>
      <rPr>
        <rFont val="Calibri"/>
        <color theme="1"/>
        <sz val="11.0"/>
      </rPr>
      <t>. De belangrijkste is de post subsidies (E38 t/m E40), die bewust laag is ingeschat.</t>
    </r>
  </si>
  <si>
    <t>Verder is het aan de investeerder, aan de gemeente en aan de bewoners zelf om de afweging te maken;</t>
  </si>
  <si>
    <t>Buffervat kladblaadje</t>
  </si>
  <si>
    <t>daarvoor is een professioneel verder uitgewerkt plan nodig, laten we daar vooral niet mee wachten.</t>
  </si>
  <si>
    <t>Stel R = 5 m, h = 12,5 m, dan inhoud</t>
  </si>
  <si>
    <t>m3</t>
  </si>
  <si>
    <t>bron: IkbenRa en ref. 40</t>
  </si>
  <si>
    <t>Soortelijke warmte van water = 4,2 kJ/kg.</t>
  </si>
  <si>
    <r>
      <rPr>
        <rFont val="Calibri"/>
        <color theme="1"/>
        <sz val="11.0"/>
      </rPr>
      <t>Afkoeling van 90 naar 50</t>
    </r>
    <r>
      <rPr>
        <rFont val="Calibri"/>
        <color theme="1"/>
        <sz val="11.0"/>
      </rPr>
      <t>˚C levert</t>
    </r>
  </si>
  <si>
    <t>Warmtevraag o.b.v. CBS- en Stedin-gegevens:</t>
  </si>
  <si>
    <t xml:space="preserve">Totale nuttige warmte-inhoud </t>
  </si>
  <si>
    <t>Gecheckte cijfers Zuidrandflats:</t>
  </si>
  <si>
    <t>m3 gemiddeld verbruik per appartement in 2019.</t>
  </si>
  <si>
    <t>Indicatieve investeringskosten</t>
  </si>
  <si>
    <t>€/m3</t>
  </si>
  <si>
    <t xml:space="preserve">Geen aftrek voor kookgas. Wel corrigeren voor graaddagen: </t>
  </si>
  <si>
    <t>over 215 appart., d.i.</t>
  </si>
  <si>
    <t>Investering dus</t>
  </si>
  <si>
    <t>Alle overige woningen en gebouwen:</t>
  </si>
  <si>
    <t>Totaal:</t>
  </si>
  <si>
    <t>bron: persoonlijke communicatie met GroeneWarmte (voorheen Ecovat)</t>
  </si>
  <si>
    <t>Totaal aantal woningequivalenten is ongeveer 806. Daartoe behoren enkele scholen e.d., elk geschat op enkele WEQ.</t>
  </si>
  <si>
    <t>kader gelijktijdigheid warmtevraag</t>
  </si>
  <si>
    <t>Bronnen: RHDHV, Eneco, Benno Schepers, …</t>
  </si>
  <si>
    <t>1 GJ = 1.000.000.000 Ws</t>
  </si>
  <si>
    <t>ruimteverwarming vermogen/WEQ</t>
  </si>
  <si>
    <t>gelijkt.</t>
  </si>
  <si>
    <t>dat is dus</t>
  </si>
  <si>
    <t>kW</t>
  </si>
  <si>
    <t>dat is</t>
  </si>
  <si>
    <t>kWh-th</t>
  </si>
  <si>
    <t>warmtapwater vermogen/WEQ</t>
  </si>
  <si>
    <t>totaal</t>
  </si>
  <si>
    <r>
      <rPr>
        <rFont val="Calibri"/>
        <color theme="1"/>
        <sz val="11.0"/>
      </rPr>
      <t xml:space="preserve">DWA volgt ISSO-richtlijn en calculeert gelijktijdigheid voor tapwater met </t>
    </r>
    <r>
      <rPr>
        <rFont val="Calibri"/>
        <color theme="1"/>
        <sz val="11.0"/>
      </rPr>
      <t>√n, met bovenstaande uitkomst.</t>
    </r>
  </si>
  <si>
    <t>RHDHV (ref. 40) volgt een ander rekenmodel: 1 kW per 3 GJ geeft maximale vraag:</t>
  </si>
  <si>
    <t>Gewogen gemiddelde gelijktijdigheid van 0,46 geeft maximaal gelijktijdig per WEQ:</t>
  </si>
</sst>
</file>

<file path=xl/styles.xml><?xml version="1.0" encoding="utf-8"?>
<styleSheet xmlns="http://schemas.openxmlformats.org/spreadsheetml/2006/main" xmlns:x14ac="http://schemas.microsoft.com/office/spreadsheetml/2009/9/ac" xmlns:mc="http://schemas.openxmlformats.org/markup-compatibility/2006">
  <numFmts count="10">
    <numFmt numFmtId="164" formatCode="_ * #,##0.00_ ;_ * \-#,##0.00_ ;_ * &quot;-&quot;??_ ;_ @_ "/>
    <numFmt numFmtId="165" formatCode="_ * #,##0.0_ ;_ * \-#,##0.0_ ;_ * &quot;-&quot;??_ ;_ @_ "/>
    <numFmt numFmtId="166" formatCode="_ * #,##0_ ;_ * \-#,##0_ ;_ * &quot;-&quot;??_ ;_ @_ "/>
    <numFmt numFmtId="167" formatCode="0.0"/>
    <numFmt numFmtId="168" formatCode="_ * #,##0_ ;_ * \-#,##0_ ;_ * &quot;-&quot;?_ ;_ @_ "/>
    <numFmt numFmtId="169" formatCode="&quot;€&quot;\ #,##0"/>
    <numFmt numFmtId="170" formatCode="0.000"/>
    <numFmt numFmtId="171" formatCode="_ * #,##0.0_ ;_ * \-#,##0.0_ ;_ * &quot;-&quot;?_ ;_ @_ "/>
    <numFmt numFmtId="172" formatCode="0.0000"/>
    <numFmt numFmtId="173" formatCode="_ &quot;€&quot;\ * #,##0_ ;_ &quot;€&quot;\ * \-#,##0_ ;_ &quot;€&quot;\ * &quot;-&quot;??_ ;_ @_ "/>
  </numFmts>
  <fonts count="17">
    <font>
      <sz val="11.0"/>
      <color theme="1"/>
      <name val="Calibri"/>
      <scheme val="minor"/>
    </font>
    <font>
      <sz val="9.0"/>
      <color theme="1"/>
      <name val="Calibri"/>
      <scheme val="minor"/>
    </font>
    <font>
      <sz val="9.0"/>
      <color theme="1"/>
      <name val="Calibri"/>
    </font>
    <font>
      <i/>
      <sz val="9.0"/>
      <color theme="1"/>
      <name val="Calibri"/>
    </font>
    <font>
      <b/>
      <sz val="9.0"/>
      <color theme="1"/>
      <name val="Calibri"/>
    </font>
    <font>
      <b/>
      <sz val="9.0"/>
      <color rgb="FFFF0000"/>
      <name val="Calibri"/>
    </font>
    <font/>
    <font>
      <u/>
      <sz val="9.0"/>
      <color theme="10"/>
      <name val="Calibri"/>
    </font>
    <font>
      <sz val="9.0"/>
      <color theme="1"/>
      <name val="Cambria"/>
    </font>
    <font>
      <sz val="9.0"/>
      <color rgb="FF7F6000"/>
      <name val="Calibri"/>
    </font>
    <font>
      <b/>
      <sz val="11.0"/>
      <color theme="1"/>
      <name val="Calibri"/>
    </font>
    <font>
      <sz val="11.0"/>
      <color theme="1"/>
      <name val="Calibri"/>
    </font>
    <font>
      <sz val="11.0"/>
      <color rgb="FFFF0000"/>
      <name val="Calibri"/>
    </font>
    <font>
      <sz val="11.0"/>
      <color rgb="FF00B050"/>
      <name val="Calibri"/>
    </font>
    <font>
      <color theme="1"/>
      <name val="Calibri"/>
      <scheme val="minor"/>
    </font>
    <font>
      <sz val="11.0"/>
      <color rgb="FFBF9000"/>
      <name val="Calibri"/>
    </font>
    <font>
      <b/>
      <sz val="11.0"/>
      <color rgb="FF000000"/>
      <name val="Calibri"/>
    </font>
  </fonts>
  <fills count="4">
    <fill>
      <patternFill patternType="none"/>
    </fill>
    <fill>
      <patternFill patternType="lightGray"/>
    </fill>
    <fill>
      <patternFill patternType="solid">
        <fgColor rgb="FFFFFF00"/>
        <bgColor rgb="FFFFFF00"/>
      </patternFill>
    </fill>
    <fill>
      <patternFill patternType="solid">
        <fgColor rgb="FFFFC000"/>
        <bgColor rgb="FFFFC000"/>
      </patternFill>
    </fill>
  </fills>
  <borders count="54">
    <border/>
    <border>
      <left style="thin">
        <color rgb="FF000000"/>
      </left>
      <top style="thin">
        <color rgb="FF000000"/>
      </top>
    </border>
    <border>
      <top style="thin">
        <color rgb="FF000000"/>
      </top>
    </border>
    <border>
      <right style="thin">
        <color rgb="FF000000"/>
      </right>
      <top style="thin">
        <color rgb="FF000000"/>
      </top>
    </border>
    <border>
      <left/>
      <right/>
      <top/>
      <bottom/>
    </border>
    <border>
      <left style="thin">
        <color rgb="FF000000"/>
      </left>
      <bottom style="thin">
        <color rgb="FF000000"/>
      </bottom>
    </border>
    <border>
      <bottom style="thin">
        <color rgb="FF000000"/>
      </bottom>
    </border>
    <border>
      <right style="thin">
        <color rgb="FF000000"/>
      </right>
      <bottom style="thin">
        <color rgb="FF000000"/>
      </bottom>
    </border>
    <border>
      <left style="medium">
        <color rgb="FF000000"/>
      </left>
      <right style="thin">
        <color rgb="FF000000"/>
      </right>
      <bottom style="double">
        <color rgb="FF000000"/>
      </bottom>
    </border>
    <border>
      <bottom style="double">
        <color rgb="FF000000"/>
      </bottom>
    </border>
    <border>
      <left style="thin">
        <color rgb="FF000000"/>
      </left>
      <right style="thin">
        <color rgb="FF000000"/>
      </right>
      <bottom style="double">
        <color rgb="FF000000"/>
      </bottom>
    </border>
    <border>
      <left style="thin">
        <color rgb="FF000000"/>
      </left>
      <top style="medium">
        <color rgb="FF000000"/>
      </top>
      <bottom style="double">
        <color rgb="FF000000"/>
      </bottom>
    </border>
    <border>
      <top style="medium">
        <color rgb="FF000000"/>
      </top>
      <bottom style="double">
        <color rgb="FF000000"/>
      </bottom>
    </border>
    <border>
      <right style="thin">
        <color rgb="FF000000"/>
      </right>
      <top style="medium">
        <color rgb="FF000000"/>
      </top>
      <bottom style="double">
        <color rgb="FF000000"/>
      </bottom>
    </border>
    <border>
      <right style="medium">
        <color rgb="FF000000"/>
      </right>
      <top style="medium">
        <color rgb="FF000000"/>
      </top>
      <bottom style="double">
        <color rgb="FF000000"/>
      </bottom>
    </border>
    <border>
      <left style="medium">
        <color rgb="FF000000"/>
      </left>
      <right style="thin">
        <color rgb="FF000000"/>
      </right>
    </border>
    <border>
      <left style="thin">
        <color rgb="FF000000"/>
      </left>
      <right style="thin">
        <color rgb="FF000000"/>
      </right>
    </border>
    <border>
      <left style="thin">
        <color rgb="FF000000"/>
      </left>
    </border>
    <border>
      <right style="thin">
        <color rgb="FF000000"/>
      </right>
    </border>
    <border>
      <right style="medium">
        <color rgb="FF000000"/>
      </right>
    </border>
    <border>
      <left style="thin">
        <color rgb="FF000000"/>
      </left>
      <right/>
      <top/>
      <bottom/>
    </border>
    <border>
      <left/>
      <right style="thin">
        <color rgb="FF000000"/>
      </right>
      <top/>
      <bottom/>
    </border>
    <border>
      <left style="thin">
        <color rgb="FF000000"/>
      </left>
      <right style="thin">
        <color rgb="FF000000"/>
      </right>
      <top/>
      <bottom/>
    </border>
    <border>
      <left style="thin">
        <color rgb="FF000000"/>
      </left>
      <right style="thin">
        <color rgb="FF000000"/>
      </right>
      <bottom style="thin">
        <color rgb="FF000000"/>
      </bottom>
    </border>
    <border>
      <right style="medium">
        <color rgb="FF000000"/>
      </right>
      <bottom style="thin">
        <color rgb="FF000000"/>
      </bottom>
    </border>
    <border>
      <left style="medium">
        <color rgb="FF000000"/>
      </left>
      <right style="thin">
        <color rgb="FF000000"/>
      </right>
      <bottom style="medium">
        <color rgb="FF000000"/>
      </bottom>
    </border>
    <border>
      <bottom style="medium">
        <color rgb="FF000000"/>
      </bottom>
    </border>
    <border>
      <right style="medium">
        <color rgb="FF000000"/>
      </right>
      <bottom style="medium">
        <color rgb="FF000000"/>
      </bottom>
    </border>
    <border>
      <left style="thin">
        <color rgb="FF000000"/>
      </left>
      <top style="medium">
        <color rgb="FF000000"/>
      </top>
    </border>
    <border>
      <top style="medium">
        <color rgb="FF000000"/>
      </top>
    </border>
    <border>
      <right style="thin">
        <color rgb="FF000000"/>
      </right>
      <top style="medium">
        <color rgb="FF000000"/>
      </top>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medium">
        <color rgb="FF000000"/>
      </left>
    </border>
    <border>
      <top style="thin">
        <color rgb="FFCCCCCC"/>
      </top>
      <bottom style="thin">
        <color rgb="FFCCCCCC"/>
      </bottom>
    </border>
    <border>
      <top style="thin">
        <color rgb="FFCCCCCC"/>
      </top>
    </border>
    <border>
      <left style="thick">
        <color rgb="FF000000"/>
      </left>
      <top style="thick">
        <color rgb="FF000000"/>
      </top>
    </border>
    <border>
      <top style="thick">
        <color rgb="FF000000"/>
      </top>
    </border>
    <border>
      <right style="thick">
        <color rgb="FF000000"/>
      </right>
      <top style="thick">
        <color rgb="FF000000"/>
      </top>
    </border>
    <border>
      <left style="medium">
        <color rgb="FF000000"/>
      </left>
      <top style="medium">
        <color rgb="FF000000"/>
      </top>
      <bottom style="thin">
        <color rgb="FF000000"/>
      </bottom>
    </border>
    <border>
      <right style="thin">
        <color rgb="FF000000"/>
      </right>
      <top style="medium">
        <color rgb="FF000000"/>
      </top>
      <bottom style="thin">
        <color rgb="FF000000"/>
      </bottom>
    </border>
    <border>
      <top style="medium">
        <color rgb="FF000000"/>
      </top>
      <bottom style="thin">
        <color rgb="FF000000"/>
      </bottom>
    </border>
    <border>
      <right style="medium">
        <color rgb="FF000000"/>
      </right>
      <top style="medium">
        <color rgb="FF000000"/>
      </top>
      <bottom style="thin">
        <color rgb="FF000000"/>
      </bottom>
    </border>
    <border>
      <left style="thick">
        <color rgb="FF000000"/>
      </left>
    </border>
    <border>
      <right style="thick">
        <color rgb="FF000000"/>
      </right>
    </border>
    <border>
      <left style="medium">
        <color rgb="FF000000"/>
      </left>
      <bottom style="medium">
        <color rgb="FF000000"/>
      </bottom>
    </border>
    <border>
      <right style="thin">
        <color rgb="FF000000"/>
      </right>
      <bottom style="medium">
        <color rgb="FF000000"/>
      </bottom>
    </border>
    <border>
      <top style="medium">
        <color rgb="FF000000"/>
      </top>
      <bottom style="medium">
        <color rgb="FF000000"/>
      </bottom>
    </border>
    <border>
      <left style="thick">
        <color rgb="FF000000"/>
      </left>
      <bottom style="thick">
        <color rgb="FF000000"/>
      </bottom>
    </border>
    <border>
      <bottom style="thick">
        <color rgb="FF000000"/>
      </bottom>
    </border>
    <border>
      <right style="thick">
        <color rgb="FF000000"/>
      </right>
      <bottom style="thick">
        <color rgb="FF000000"/>
      </bottom>
    </border>
    <border>
      <left style="medium">
        <color rgb="FF000000"/>
      </left>
      <top style="medium">
        <color rgb="FF000000"/>
      </top>
    </border>
    <border>
      <right style="medium">
        <color rgb="FF000000"/>
      </right>
      <top style="medium">
        <color rgb="FF000000"/>
      </top>
    </border>
  </borders>
  <cellStyleXfs count="1">
    <xf borderId="0" fillId="0" fontId="0" numFmtId="0" applyAlignment="1" applyFont="1"/>
  </cellStyleXfs>
  <cellXfs count="162">
    <xf borderId="0" fillId="0" fontId="0" numFmtId="0" xfId="0" applyAlignment="1" applyFont="1">
      <alignment readingOrder="0" shrinkToFit="0" vertical="bottom" wrapText="0"/>
    </xf>
    <xf borderId="0" fillId="0" fontId="1" numFmtId="0" xfId="0" applyFont="1"/>
    <xf borderId="0" fillId="0" fontId="2" numFmtId="0" xfId="0" applyAlignment="1" applyFont="1">
      <alignment horizontal="right"/>
    </xf>
    <xf borderId="1" fillId="0" fontId="2" numFmtId="0" xfId="0" applyBorder="1" applyFont="1"/>
    <xf borderId="2" fillId="0" fontId="2" numFmtId="0" xfId="0" applyBorder="1" applyFont="1"/>
    <xf borderId="2" fillId="0" fontId="2" numFmtId="0" xfId="0" applyAlignment="1" applyBorder="1" applyFont="1">
      <alignment horizontal="right"/>
    </xf>
    <xf borderId="3" fillId="0" fontId="2" numFmtId="0" xfId="0" applyBorder="1" applyFont="1"/>
    <xf borderId="4" fillId="2" fontId="3" numFmtId="0" xfId="0" applyBorder="1" applyFill="1" applyFont="1"/>
    <xf borderId="4" fillId="2" fontId="2" numFmtId="0" xfId="0" applyBorder="1" applyFont="1"/>
    <xf borderId="4" fillId="2" fontId="2" numFmtId="164" xfId="0" applyBorder="1" applyFont="1" applyNumberFormat="1"/>
    <xf borderId="4" fillId="2" fontId="2" numFmtId="2" xfId="0" applyBorder="1" applyFont="1" applyNumberFormat="1"/>
    <xf borderId="4" fillId="2" fontId="2" numFmtId="165" xfId="0" applyBorder="1" applyFont="1" applyNumberFormat="1"/>
    <xf borderId="5" fillId="0" fontId="2" numFmtId="0" xfId="0" applyBorder="1" applyFont="1"/>
    <xf borderId="6" fillId="0" fontId="2" numFmtId="0" xfId="0" applyBorder="1" applyFont="1"/>
    <xf borderId="6" fillId="0" fontId="2" numFmtId="0" xfId="0" applyAlignment="1" applyBorder="1" applyFont="1">
      <alignment horizontal="right"/>
    </xf>
    <xf borderId="7" fillId="0" fontId="2" numFmtId="0" xfId="0" applyBorder="1" applyFont="1"/>
    <xf borderId="8" fillId="0" fontId="2" numFmtId="0" xfId="0" applyBorder="1" applyFont="1"/>
    <xf borderId="9" fillId="0" fontId="2" numFmtId="0" xfId="0" applyBorder="1" applyFont="1"/>
    <xf borderId="10" fillId="0" fontId="4" numFmtId="0" xfId="0" applyAlignment="1" applyBorder="1" applyFont="1">
      <alignment horizontal="right"/>
    </xf>
    <xf borderId="9" fillId="0" fontId="4" numFmtId="0" xfId="0" applyBorder="1" applyFont="1"/>
    <xf borderId="11" fillId="0" fontId="4" numFmtId="0" xfId="0" applyBorder="1" applyFont="1"/>
    <xf borderId="12" fillId="0" fontId="4" numFmtId="0" xfId="0" applyBorder="1" applyFont="1"/>
    <xf borderId="13" fillId="0" fontId="4" numFmtId="0" xfId="0" applyBorder="1" applyFont="1"/>
    <xf borderId="12" fillId="0" fontId="2" numFmtId="0" xfId="0" applyBorder="1" applyFont="1"/>
    <xf borderId="14" fillId="0" fontId="2" numFmtId="0" xfId="0" applyBorder="1" applyFont="1"/>
    <xf borderId="15" fillId="0" fontId="3" numFmtId="0" xfId="0" applyBorder="1" applyFont="1"/>
    <xf borderId="16" fillId="0" fontId="2" numFmtId="166" xfId="0" applyAlignment="1" applyBorder="1" applyFont="1" applyNumberFormat="1">
      <alignment horizontal="right"/>
    </xf>
    <xf borderId="17" fillId="0" fontId="2" numFmtId="0" xfId="0" applyBorder="1" applyFont="1"/>
    <xf borderId="18" fillId="0" fontId="2" numFmtId="0" xfId="0" applyBorder="1" applyFont="1"/>
    <xf borderId="19" fillId="0" fontId="2" numFmtId="0" xfId="0" applyBorder="1" applyFont="1"/>
    <xf borderId="15" fillId="0" fontId="2" numFmtId="0" xfId="0" applyBorder="1" applyFont="1"/>
    <xf borderId="15" fillId="0" fontId="5" numFmtId="0" xfId="0" applyAlignment="1" applyBorder="1" applyFont="1">
      <alignment horizontal="right"/>
    </xf>
    <xf borderId="0" fillId="0" fontId="2" numFmtId="0" xfId="0" applyFont="1"/>
    <xf borderId="0" fillId="0" fontId="2" numFmtId="166" xfId="0" applyFont="1" applyNumberFormat="1"/>
    <xf borderId="0" fillId="0" fontId="2" numFmtId="165" xfId="0" applyFont="1" applyNumberFormat="1"/>
    <xf borderId="20" fillId="3" fontId="2" numFmtId="0" xfId="0" applyBorder="1" applyFill="1" applyFont="1"/>
    <xf borderId="4" fillId="3" fontId="2" numFmtId="0" xfId="0" applyBorder="1" applyFont="1"/>
    <xf borderId="4" fillId="3" fontId="2" numFmtId="166" xfId="0" applyBorder="1" applyFont="1" applyNumberFormat="1"/>
    <xf borderId="21" fillId="3" fontId="2" numFmtId="0" xfId="0" applyBorder="1" applyFont="1"/>
    <xf borderId="18" fillId="0" fontId="2" numFmtId="2" xfId="0" applyAlignment="1" applyBorder="1" applyFont="1" applyNumberFormat="1">
      <alignment horizontal="left"/>
    </xf>
    <xf borderId="22" fillId="3" fontId="2" numFmtId="165" xfId="0" applyAlignment="1" applyBorder="1" applyFont="1" applyNumberFormat="1">
      <alignment horizontal="right"/>
    </xf>
    <xf borderId="16" fillId="0" fontId="2" numFmtId="165" xfId="0" applyAlignment="1" applyBorder="1" applyFont="1" applyNumberFormat="1">
      <alignment horizontal="right"/>
    </xf>
    <xf borderId="0" fillId="0" fontId="2" numFmtId="167" xfId="0" applyAlignment="1" applyFont="1" applyNumberFormat="1">
      <alignment horizontal="left"/>
    </xf>
    <xf borderId="22" fillId="3" fontId="2" numFmtId="166" xfId="0" applyAlignment="1" applyBorder="1" applyFont="1" applyNumberFormat="1">
      <alignment horizontal="right"/>
    </xf>
    <xf borderId="15" fillId="0" fontId="5" numFmtId="0" xfId="0" applyAlignment="1" applyBorder="1" applyFont="1">
      <alignment horizontal="right" vertical="top"/>
    </xf>
    <xf borderId="16" fillId="0" fontId="2" numFmtId="164" xfId="0" applyAlignment="1" applyBorder="1" applyFont="1" applyNumberFormat="1">
      <alignment horizontal="right"/>
    </xf>
    <xf borderId="15" fillId="0" fontId="3" numFmtId="0" xfId="0" applyAlignment="1" applyBorder="1" applyFont="1">
      <alignment horizontal="right"/>
    </xf>
    <xf borderId="0" fillId="0" fontId="2" numFmtId="168" xfId="0" applyFont="1" applyNumberFormat="1"/>
    <xf borderId="0" fillId="0" fontId="2" numFmtId="1" xfId="0" applyFont="1" applyNumberFormat="1"/>
    <xf borderId="19" fillId="0" fontId="2" numFmtId="166" xfId="0" applyBorder="1" applyFont="1" applyNumberFormat="1"/>
    <xf borderId="18" fillId="0" fontId="2" numFmtId="169" xfId="0" applyBorder="1" applyFont="1" applyNumberFormat="1"/>
    <xf borderId="18" fillId="0" fontId="2" numFmtId="166" xfId="0" applyAlignment="1" applyBorder="1" applyFont="1" applyNumberFormat="1">
      <alignment horizontal="right"/>
    </xf>
    <xf borderId="0" fillId="0" fontId="2" numFmtId="170" xfId="0" applyFont="1" applyNumberFormat="1"/>
    <xf borderId="16" fillId="0" fontId="2" numFmtId="166" xfId="0" applyBorder="1" applyFont="1" applyNumberFormat="1"/>
    <xf borderId="0" fillId="0" fontId="2" numFmtId="166" xfId="0" applyAlignment="1" applyFont="1" applyNumberFormat="1">
      <alignment horizontal="right"/>
    </xf>
    <xf borderId="17" fillId="0" fontId="2" numFmtId="0" xfId="0" applyAlignment="1" applyBorder="1" applyFont="1">
      <alignment shrinkToFit="0" wrapText="1"/>
    </xf>
    <xf borderId="19" fillId="0" fontId="6" numFmtId="0" xfId="0" applyBorder="1" applyFont="1"/>
    <xf borderId="17" fillId="0" fontId="6" numFmtId="0" xfId="0" applyBorder="1" applyFont="1"/>
    <xf borderId="0" fillId="0" fontId="2" numFmtId="0" xfId="0" applyAlignment="1" applyFont="1">
      <alignment vertical="top"/>
    </xf>
    <xf borderId="16" fillId="0" fontId="2" numFmtId="166" xfId="0" applyAlignment="1" applyBorder="1" applyFont="1" applyNumberFormat="1">
      <alignment horizontal="right" vertical="top"/>
    </xf>
    <xf borderId="17" fillId="0" fontId="2" numFmtId="0" xfId="0" applyAlignment="1" applyBorder="1" applyFont="1">
      <alignment vertical="top"/>
    </xf>
    <xf borderId="18" fillId="0" fontId="2" numFmtId="0" xfId="0" applyAlignment="1" applyBorder="1" applyFont="1">
      <alignment vertical="top"/>
    </xf>
    <xf borderId="17" fillId="0" fontId="7" numFmtId="0" xfId="0" applyAlignment="1" applyBorder="1" applyFont="1">
      <alignment horizontal="left" shrinkToFit="0" wrapText="1"/>
    </xf>
    <xf borderId="23" fillId="0" fontId="2" numFmtId="166" xfId="0" applyAlignment="1" applyBorder="1" applyFont="1" applyNumberFormat="1">
      <alignment horizontal="right"/>
    </xf>
    <xf borderId="6" fillId="0" fontId="2" numFmtId="166" xfId="0" applyBorder="1" applyFont="1" applyNumberFormat="1"/>
    <xf borderId="24" fillId="0" fontId="2" numFmtId="0" xfId="0" applyBorder="1" applyFont="1"/>
    <xf borderId="25" fillId="0" fontId="2" numFmtId="0" xfId="0" applyBorder="1" applyFont="1"/>
    <xf borderId="26" fillId="0" fontId="2" numFmtId="0" xfId="0" applyBorder="1" applyFont="1"/>
    <xf borderId="26" fillId="0" fontId="2" numFmtId="166" xfId="0" applyAlignment="1" applyBorder="1" applyFont="1" applyNumberFormat="1">
      <alignment horizontal="right"/>
    </xf>
    <xf borderId="27" fillId="0" fontId="2" numFmtId="0" xfId="0" applyBorder="1" applyFont="1"/>
    <xf borderId="0" fillId="0" fontId="5" numFmtId="0" xfId="0" applyAlignment="1" applyFont="1">
      <alignment horizontal="right"/>
    </xf>
    <xf borderId="28" fillId="0" fontId="2" numFmtId="0" xfId="0" applyAlignment="1" applyBorder="1" applyFont="1">
      <alignment horizontal="left" shrinkToFit="0" vertical="top" wrapText="1"/>
    </xf>
    <xf borderId="29" fillId="0" fontId="6" numFmtId="0" xfId="0" applyBorder="1" applyFont="1"/>
    <xf borderId="30" fillId="0" fontId="6" numFmtId="0" xfId="0" applyBorder="1" applyFont="1"/>
    <xf borderId="5" fillId="0" fontId="6" numFmtId="0" xfId="0" applyBorder="1" applyFont="1"/>
    <xf borderId="6" fillId="0" fontId="6" numFmtId="0" xfId="0" applyBorder="1" applyFont="1"/>
    <xf borderId="7" fillId="0" fontId="6" numFmtId="0" xfId="0" applyBorder="1" applyFont="1"/>
    <xf borderId="0" fillId="0" fontId="2" numFmtId="0" xfId="0" applyAlignment="1" applyFont="1">
      <alignment horizontal="left" shrinkToFit="0" vertical="top" wrapText="1"/>
    </xf>
    <xf borderId="31" fillId="0" fontId="2" numFmtId="0" xfId="0" applyAlignment="1" applyBorder="1" applyFont="1">
      <alignment horizontal="left" shrinkToFit="0" vertical="top" wrapText="1"/>
    </xf>
    <xf borderId="32" fillId="0" fontId="6" numFmtId="0" xfId="0" applyBorder="1" applyFont="1"/>
    <xf borderId="33" fillId="0" fontId="6" numFmtId="0" xfId="0" applyBorder="1" applyFont="1"/>
    <xf borderId="34" fillId="0" fontId="5" numFmtId="0" xfId="0" applyAlignment="1" applyBorder="1" applyFont="1">
      <alignment horizontal="right"/>
    </xf>
    <xf borderId="1" fillId="0" fontId="2" numFmtId="0" xfId="0" applyAlignment="1" applyBorder="1" applyFont="1">
      <alignment horizontal="left" shrinkToFit="0" wrapText="1"/>
    </xf>
    <xf borderId="2" fillId="0" fontId="6" numFmtId="0" xfId="0" applyBorder="1" applyFont="1"/>
    <xf borderId="3" fillId="0" fontId="6" numFmtId="0" xfId="0" applyBorder="1" applyFont="1"/>
    <xf borderId="0" fillId="0" fontId="5" numFmtId="0" xfId="0" applyAlignment="1" applyFont="1">
      <alignment horizontal="right" vertical="top"/>
    </xf>
    <xf borderId="18" fillId="0" fontId="6" numFmtId="0" xfId="0" applyBorder="1" applyFont="1"/>
    <xf borderId="0" fillId="0" fontId="8" numFmtId="0" xfId="0" applyFont="1"/>
    <xf borderId="0" fillId="0" fontId="2" numFmtId="164" xfId="0" applyFont="1" applyNumberFormat="1"/>
    <xf borderId="0" fillId="0" fontId="2" numFmtId="171" xfId="0" applyFont="1" applyNumberFormat="1"/>
    <xf borderId="31" fillId="0" fontId="2" numFmtId="0" xfId="0" applyAlignment="1" applyBorder="1" applyFont="1">
      <alignment horizontal="left"/>
    </xf>
    <xf borderId="0" fillId="0" fontId="2" numFmtId="167" xfId="0" applyFont="1" applyNumberFormat="1"/>
    <xf borderId="31" fillId="0" fontId="2" numFmtId="0" xfId="0" applyAlignment="1" applyBorder="1" applyFont="1">
      <alignment horizontal="left" shrinkToFit="0" wrapText="1"/>
    </xf>
    <xf borderId="0" fillId="0" fontId="2" numFmtId="0" xfId="0" applyAlignment="1" applyFont="1">
      <alignment horizontal="center" shrinkToFit="0" wrapText="1"/>
    </xf>
    <xf borderId="4" fillId="3" fontId="9" numFmtId="0" xfId="0" applyBorder="1" applyFont="1"/>
    <xf borderId="0" fillId="0" fontId="2" numFmtId="0" xfId="0" applyAlignment="1" applyFont="1">
      <alignment horizontal="left"/>
    </xf>
    <xf borderId="35" fillId="0" fontId="2" numFmtId="0" xfId="0" applyAlignment="1" applyBorder="1" applyFont="1">
      <alignment horizontal="left"/>
    </xf>
    <xf borderId="0" fillId="0" fontId="2" numFmtId="172" xfId="0" applyFont="1" applyNumberFormat="1"/>
    <xf borderId="0" fillId="0" fontId="8" numFmtId="0" xfId="0" applyAlignment="1" applyFont="1">
      <alignment horizontal="right"/>
    </xf>
    <xf borderId="36" fillId="0" fontId="2" numFmtId="0" xfId="0" applyAlignment="1" applyBorder="1" applyFont="1">
      <alignment horizontal="left"/>
    </xf>
    <xf borderId="0" fillId="0" fontId="4" numFmtId="1" xfId="0" applyFont="1" applyNumberFormat="1"/>
    <xf borderId="0" fillId="0" fontId="4" numFmtId="0" xfId="0" applyFont="1"/>
    <xf borderId="0" fillId="0" fontId="4" numFmtId="168" xfId="0" applyFont="1" applyNumberFormat="1"/>
    <xf borderId="0" fillId="0" fontId="2" numFmtId="2" xfId="0" applyFont="1" applyNumberFormat="1"/>
    <xf borderId="0" fillId="0" fontId="2" numFmtId="9" xfId="0" applyFont="1" applyNumberFormat="1"/>
    <xf borderId="0" fillId="0" fontId="2" numFmtId="1" xfId="0" applyAlignment="1" applyFont="1" applyNumberFormat="1">
      <alignment horizontal="right"/>
    </xf>
    <xf borderId="0" fillId="0" fontId="10" numFmtId="0" xfId="0" applyFont="1"/>
    <xf borderId="37" fillId="0" fontId="11" numFmtId="0" xfId="0" applyAlignment="1" applyBorder="1" applyFont="1">
      <alignment horizontal="left" shrinkToFit="0" vertical="top" wrapText="1"/>
    </xf>
    <xf borderId="38" fillId="0" fontId="6" numFmtId="0" xfId="0" applyBorder="1" applyFont="1"/>
    <xf borderId="39" fillId="0" fontId="6" numFmtId="0" xfId="0" applyBorder="1" applyFont="1"/>
    <xf borderId="0" fillId="0" fontId="12" numFmtId="0" xfId="0" applyFont="1"/>
    <xf borderId="40" fillId="0" fontId="11" numFmtId="0" xfId="0" applyBorder="1" applyFont="1"/>
    <xf borderId="41" fillId="0" fontId="11" numFmtId="0" xfId="0" applyBorder="1" applyFont="1"/>
    <xf borderId="42" fillId="0" fontId="11" numFmtId="0" xfId="0" applyAlignment="1" applyBorder="1" applyFont="1">
      <alignment horizontal="right"/>
    </xf>
    <xf borderId="43" fillId="0" fontId="11" numFmtId="0" xfId="0" applyAlignment="1" applyBorder="1" applyFont="1">
      <alignment horizontal="right"/>
    </xf>
    <xf borderId="44" fillId="0" fontId="6" numFmtId="0" xfId="0" applyBorder="1" applyFont="1"/>
    <xf borderId="45" fillId="0" fontId="6" numFmtId="0" xfId="0" applyBorder="1" applyFont="1"/>
    <xf borderId="0" fillId="0" fontId="11" numFmtId="0" xfId="0" applyAlignment="1" applyFont="1">
      <alignment horizontal="right"/>
    </xf>
    <xf borderId="34" fillId="0" fontId="11" numFmtId="0" xfId="0" applyBorder="1" applyFont="1"/>
    <xf borderId="18" fillId="0" fontId="11" numFmtId="0" xfId="0" applyBorder="1" applyFont="1"/>
    <xf borderId="0" fillId="0" fontId="11" numFmtId="2" xfId="0" applyFont="1" applyNumberFormat="1"/>
    <xf borderId="0" fillId="0" fontId="11" numFmtId="166" xfId="0" applyFont="1" applyNumberFormat="1"/>
    <xf borderId="19" fillId="0" fontId="11" numFmtId="168" xfId="0" applyBorder="1" applyFont="1" applyNumberFormat="1"/>
    <xf borderId="0" fillId="0" fontId="11" numFmtId="168" xfId="0" applyFont="1" applyNumberFormat="1"/>
    <xf borderId="0" fillId="0" fontId="11" numFmtId="0" xfId="0" applyFont="1"/>
    <xf borderId="0" fillId="0" fontId="13" numFmtId="0" xfId="0" applyFont="1"/>
    <xf borderId="46" fillId="0" fontId="11" numFmtId="0" xfId="0" applyBorder="1" applyFont="1"/>
    <xf borderId="47" fillId="0" fontId="11" numFmtId="0" xfId="0" applyBorder="1" applyFont="1"/>
    <xf borderId="26" fillId="0" fontId="11" numFmtId="0" xfId="0" applyBorder="1" applyFont="1"/>
    <xf borderId="26" fillId="0" fontId="11" numFmtId="168" xfId="0" applyBorder="1" applyFont="1" applyNumberFormat="1"/>
    <xf borderId="48" fillId="0" fontId="11" numFmtId="0" xfId="0" applyBorder="1" applyFont="1"/>
    <xf borderId="49" fillId="0" fontId="6" numFmtId="0" xfId="0" applyBorder="1" applyFont="1"/>
    <xf borderId="50" fillId="0" fontId="6" numFmtId="0" xfId="0" applyBorder="1" applyFont="1"/>
    <xf borderId="51" fillId="0" fontId="6" numFmtId="0" xfId="0" applyBorder="1" applyFont="1"/>
    <xf borderId="0" fillId="0" fontId="11" numFmtId="0" xfId="0" applyAlignment="1" applyFont="1">
      <alignment horizontal="left" shrinkToFit="0" vertical="top" wrapText="1"/>
    </xf>
    <xf borderId="0" fillId="0" fontId="14" numFmtId="0" xfId="0" applyFont="1"/>
    <xf borderId="0" fillId="0" fontId="15" numFmtId="0" xfId="0" applyFont="1"/>
    <xf borderId="0" fillId="0" fontId="11" numFmtId="173" xfId="0" applyFont="1" applyNumberFormat="1"/>
    <xf borderId="0" fillId="0" fontId="16" numFmtId="0" xfId="0" applyFont="1"/>
    <xf borderId="1" fillId="0" fontId="10" numFmtId="0" xfId="0" applyBorder="1" applyFont="1"/>
    <xf borderId="2" fillId="0" fontId="11" numFmtId="0" xfId="0" applyBorder="1" applyFont="1"/>
    <xf borderId="3" fillId="0" fontId="11" numFmtId="0" xfId="0" applyBorder="1" applyFont="1"/>
    <xf borderId="17" fillId="0" fontId="11" numFmtId="0" xfId="0" applyBorder="1" applyFont="1"/>
    <xf borderId="0" fillId="0" fontId="11" numFmtId="1" xfId="0" applyFont="1" applyNumberFormat="1"/>
    <xf borderId="18" fillId="0" fontId="11" numFmtId="166" xfId="0" applyBorder="1" applyFont="1" applyNumberFormat="1"/>
    <xf borderId="5" fillId="0" fontId="11" numFmtId="0" xfId="0" applyBorder="1" applyFont="1"/>
    <xf borderId="6" fillId="0" fontId="11" numFmtId="0" xfId="0" applyBorder="1" applyFont="1"/>
    <xf borderId="6" fillId="0" fontId="11" numFmtId="166" xfId="0" applyBorder="1" applyFont="1" applyNumberFormat="1"/>
    <xf borderId="7" fillId="0" fontId="11" numFmtId="0" xfId="0" applyBorder="1" applyFont="1"/>
    <xf borderId="5" fillId="0" fontId="11" numFmtId="166" xfId="0" applyBorder="1" applyFont="1" applyNumberFormat="1"/>
    <xf borderId="2" fillId="0" fontId="11" numFmtId="166" xfId="0" applyBorder="1" applyFont="1" applyNumberFormat="1"/>
    <xf borderId="52" fillId="0" fontId="11" numFmtId="0" xfId="0" applyBorder="1" applyFont="1"/>
    <xf borderId="29" fillId="0" fontId="11" numFmtId="0" xfId="0" applyBorder="1" applyFont="1"/>
    <xf borderId="53" fillId="0" fontId="11" numFmtId="0" xfId="0" applyBorder="1" applyFont="1"/>
    <xf borderId="1" fillId="0" fontId="11" numFmtId="0" xfId="0" applyBorder="1" applyFont="1"/>
    <xf borderId="19" fillId="0" fontId="11" numFmtId="0" xfId="0" applyBorder="1" applyFont="1"/>
    <xf borderId="6" fillId="0" fontId="11" numFmtId="1" xfId="0" applyBorder="1" applyFont="1" applyNumberFormat="1"/>
    <xf borderId="0" fillId="0" fontId="10" numFmtId="167" xfId="0" applyFont="1" applyNumberFormat="1"/>
    <xf borderId="19" fillId="0" fontId="10" numFmtId="0" xfId="0" applyBorder="1" applyFont="1"/>
    <xf borderId="0" fillId="0" fontId="11" numFmtId="171" xfId="0" applyFont="1" applyNumberFormat="1"/>
    <xf borderId="26" fillId="0" fontId="10" numFmtId="171" xfId="0" applyBorder="1" applyFont="1" applyNumberFormat="1"/>
    <xf borderId="27" fillId="0" fontId="10" numFmtId="0" xfId="0" applyBorder="1"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rvo.nl/subsidie-en-financieringswijzer/isde/woningeigenaren/voorwaarden-woningeigenaren/aansluiting-op-een-warmtene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3" width="8.71"/>
    <col customWidth="1" min="4" max="4" width="13.86"/>
    <col customWidth="1" min="5" max="5" width="11.57"/>
    <col customWidth="1" min="6" max="7" width="8.71"/>
    <col customWidth="1" min="8" max="8" width="9.14"/>
    <col customWidth="1" min="9" max="9" width="10.14"/>
    <col customWidth="1" min="10" max="10" width="9.71"/>
    <col customWidth="1" min="11" max="11" width="15.57"/>
    <col customWidth="1" min="12" max="12" width="9.43"/>
    <col customWidth="1" min="13" max="13" width="14.43"/>
    <col customWidth="1" min="14" max="15" width="8.71"/>
    <col customWidth="1" min="16" max="16" width="11.43"/>
    <col customWidth="1" min="17" max="17" width="12.57"/>
    <col customWidth="1" min="18" max="18" width="8.71"/>
    <col customWidth="1" min="19" max="19" width="11.29"/>
    <col customWidth="1" min="20" max="26" width="8.71"/>
  </cols>
  <sheetData>
    <row r="1" ht="14.25" customHeight="1">
      <c r="A1" s="1"/>
      <c r="B1" s="1"/>
      <c r="C1" s="1"/>
      <c r="D1" s="1"/>
      <c r="E1" s="2"/>
      <c r="F1" s="1"/>
      <c r="G1" s="1"/>
      <c r="H1" s="1"/>
      <c r="I1" s="1"/>
      <c r="J1" s="1"/>
      <c r="K1" s="1"/>
      <c r="L1" s="1"/>
      <c r="M1" s="1"/>
      <c r="N1" s="1"/>
      <c r="O1" s="1"/>
      <c r="P1" s="1"/>
      <c r="Q1" s="1"/>
      <c r="R1" s="1"/>
      <c r="S1" s="1"/>
      <c r="T1" s="1"/>
      <c r="U1" s="1"/>
      <c r="V1" s="1"/>
      <c r="W1" s="1"/>
      <c r="X1" s="1"/>
      <c r="Y1" s="1"/>
      <c r="Z1" s="1"/>
    </row>
    <row r="2" ht="14.25" customHeight="1">
      <c r="A2" s="3" t="s">
        <v>0</v>
      </c>
      <c r="B2" s="4"/>
      <c r="C2" s="4"/>
      <c r="D2" s="4"/>
      <c r="E2" s="5"/>
      <c r="F2" s="6"/>
      <c r="G2" s="1" t="s">
        <v>1</v>
      </c>
      <c r="H2" s="1"/>
      <c r="I2" s="1"/>
      <c r="J2" s="1"/>
      <c r="K2" s="1"/>
      <c r="L2" s="1"/>
      <c r="M2" s="1"/>
      <c r="N2" s="7" t="s">
        <v>2</v>
      </c>
      <c r="O2" s="8"/>
      <c r="P2" s="9"/>
      <c r="Q2" s="8"/>
      <c r="R2" s="8"/>
      <c r="S2" s="10"/>
      <c r="T2" s="8"/>
      <c r="U2" s="11"/>
      <c r="V2" s="1"/>
      <c r="W2" s="1"/>
      <c r="X2" s="1"/>
      <c r="Y2" s="1"/>
      <c r="Z2" s="1"/>
    </row>
    <row r="3" ht="14.25" customHeight="1">
      <c r="A3" s="12" t="s">
        <v>3</v>
      </c>
      <c r="B3" s="13"/>
      <c r="C3" s="13"/>
      <c r="D3" s="13"/>
      <c r="E3" s="14"/>
      <c r="F3" s="15"/>
      <c r="G3" s="1"/>
      <c r="H3" s="1" t="s">
        <v>4</v>
      </c>
      <c r="I3" s="1"/>
      <c r="J3" s="1"/>
      <c r="K3" s="1"/>
      <c r="L3" s="1"/>
      <c r="M3" s="1"/>
      <c r="N3" s="1"/>
      <c r="O3" s="1"/>
      <c r="P3" s="1"/>
      <c r="Q3" s="1"/>
      <c r="R3" s="1"/>
      <c r="S3" s="1"/>
      <c r="T3" s="1"/>
      <c r="U3" s="1"/>
      <c r="V3" s="1"/>
      <c r="W3" s="1"/>
      <c r="X3" s="1"/>
      <c r="Y3" s="1"/>
      <c r="Z3" s="1"/>
    </row>
    <row r="4" ht="14.25" customHeight="1">
      <c r="A4" s="16"/>
      <c r="B4" s="17"/>
      <c r="C4" s="17"/>
      <c r="D4" s="17"/>
      <c r="E4" s="18" t="s">
        <v>5</v>
      </c>
      <c r="F4" s="19" t="s">
        <v>6</v>
      </c>
      <c r="G4" s="20" t="s">
        <v>7</v>
      </c>
      <c r="H4" s="21"/>
      <c r="I4" s="21"/>
      <c r="J4" s="21"/>
      <c r="K4" s="22"/>
      <c r="L4" s="21" t="s">
        <v>8</v>
      </c>
      <c r="M4" s="23"/>
      <c r="N4" s="23"/>
      <c r="O4" s="23"/>
      <c r="P4" s="23"/>
      <c r="Q4" s="23"/>
      <c r="R4" s="23"/>
      <c r="S4" s="23"/>
      <c r="T4" s="23"/>
      <c r="U4" s="24"/>
      <c r="V4" s="1"/>
      <c r="W4" s="1"/>
      <c r="X4" s="1"/>
      <c r="Y4" s="1"/>
      <c r="Z4" s="1"/>
    </row>
    <row r="5" ht="14.25" customHeight="1">
      <c r="A5" s="25" t="s">
        <v>9</v>
      </c>
      <c r="B5" s="1" t="s">
        <v>10</v>
      </c>
      <c r="C5" s="1"/>
      <c r="D5" s="1"/>
      <c r="E5" s="26">
        <v>70.0</v>
      </c>
      <c r="F5" s="1" t="s">
        <v>11</v>
      </c>
      <c r="G5" s="27" t="s">
        <v>12</v>
      </c>
      <c r="H5" s="1"/>
      <c r="I5" s="1"/>
      <c r="J5" s="1"/>
      <c r="K5" s="28"/>
      <c r="L5" s="1" t="s">
        <v>13</v>
      </c>
      <c r="M5" s="1"/>
      <c r="N5" s="1"/>
      <c r="O5" s="1"/>
      <c r="P5" s="1"/>
      <c r="Q5" s="1"/>
      <c r="R5" s="1"/>
      <c r="S5" s="1"/>
      <c r="T5" s="1"/>
      <c r="U5" s="29"/>
      <c r="V5" s="1"/>
      <c r="W5" s="1"/>
      <c r="X5" s="1"/>
      <c r="Y5" s="1"/>
      <c r="Z5" s="1"/>
    </row>
    <row r="6" ht="14.25" customHeight="1">
      <c r="A6" s="30"/>
      <c r="B6" s="1" t="s">
        <v>14</v>
      </c>
      <c r="C6" s="1"/>
      <c r="D6" s="1"/>
      <c r="E6" s="26">
        <v>808.0</v>
      </c>
      <c r="F6" s="1" t="s">
        <v>15</v>
      </c>
      <c r="G6" s="27" t="s">
        <v>16</v>
      </c>
      <c r="H6" s="1"/>
      <c r="I6" s="1"/>
      <c r="J6" s="1"/>
      <c r="K6" s="28"/>
      <c r="L6" s="1" t="s">
        <v>17</v>
      </c>
      <c r="M6" s="1"/>
      <c r="N6" s="1"/>
      <c r="O6" s="1"/>
      <c r="P6" s="1"/>
      <c r="Q6" s="1"/>
      <c r="R6" s="1"/>
      <c r="S6" s="1"/>
      <c r="T6" s="1"/>
      <c r="U6" s="29"/>
      <c r="V6" s="1"/>
      <c r="W6" s="1"/>
      <c r="X6" s="1"/>
      <c r="Y6" s="1"/>
      <c r="Z6" s="1"/>
    </row>
    <row r="7" ht="14.25" customHeight="1">
      <c r="A7" s="31" t="s">
        <v>18</v>
      </c>
      <c r="B7" s="1" t="s">
        <v>19</v>
      </c>
      <c r="C7" s="1"/>
      <c r="D7" s="1"/>
      <c r="E7" s="26">
        <v>14.9</v>
      </c>
      <c r="F7" s="1" t="s">
        <v>20</v>
      </c>
      <c r="G7" s="27"/>
      <c r="H7" s="1"/>
      <c r="I7" s="1"/>
      <c r="J7" s="1"/>
      <c r="K7" s="28"/>
      <c r="L7" s="1" t="s">
        <v>21</v>
      </c>
      <c r="M7" s="1"/>
      <c r="N7" s="1"/>
      <c r="O7" s="1"/>
      <c r="P7" s="1"/>
      <c r="Q7" s="1"/>
      <c r="R7" s="1"/>
      <c r="S7" s="1"/>
      <c r="T7" s="1"/>
      <c r="U7" s="29"/>
      <c r="V7" s="1"/>
      <c r="W7" s="1"/>
      <c r="X7" s="1"/>
      <c r="Y7" s="1"/>
      <c r="Z7" s="1"/>
    </row>
    <row r="8" ht="14.25" customHeight="1">
      <c r="A8" s="30"/>
      <c r="B8" s="1" t="s">
        <v>22</v>
      </c>
      <c r="C8" s="1"/>
      <c r="D8" s="1"/>
      <c r="E8" s="26">
        <f>1317000</f>
        <v>1317000</v>
      </c>
      <c r="F8" s="1" t="s">
        <v>23</v>
      </c>
      <c r="G8" s="27" t="s">
        <v>24</v>
      </c>
      <c r="H8" s="32"/>
      <c r="I8" s="32"/>
      <c r="J8" s="32"/>
      <c r="K8" s="28"/>
      <c r="L8" s="32" t="s">
        <v>25</v>
      </c>
      <c r="M8" s="32"/>
      <c r="N8" s="32"/>
      <c r="O8" s="32"/>
      <c r="P8" s="32"/>
      <c r="Q8" s="32"/>
      <c r="R8" s="32"/>
      <c r="S8" s="32"/>
      <c r="T8" s="33">
        <f>E8*35*0.85/1000</f>
        <v>39180.75</v>
      </c>
      <c r="U8" s="29" t="s">
        <v>26</v>
      </c>
      <c r="V8" s="1"/>
      <c r="W8" s="1"/>
      <c r="X8" s="1"/>
      <c r="Y8" s="1"/>
      <c r="Z8" s="1"/>
    </row>
    <row r="9" ht="14.25" customHeight="1">
      <c r="A9" s="1"/>
      <c r="B9" s="27" t="s">
        <v>27</v>
      </c>
      <c r="C9" s="1"/>
      <c r="D9" s="1"/>
      <c r="E9" s="26">
        <f>T8</f>
        <v>39180.75</v>
      </c>
      <c r="F9" s="1" t="s">
        <v>26</v>
      </c>
      <c r="G9" s="27" t="s">
        <v>28</v>
      </c>
      <c r="H9" s="32"/>
      <c r="I9" s="33">
        <f>E9/E6</f>
        <v>48.49102723</v>
      </c>
      <c r="J9" s="32" t="s">
        <v>26</v>
      </c>
      <c r="K9" s="28"/>
      <c r="L9" s="32"/>
      <c r="M9" s="32"/>
      <c r="N9" s="32"/>
      <c r="O9" s="32"/>
      <c r="P9" s="32"/>
      <c r="Q9" s="32"/>
      <c r="R9" s="32"/>
      <c r="S9" s="34"/>
      <c r="T9" s="32"/>
      <c r="U9" s="29"/>
      <c r="V9" s="1"/>
      <c r="W9" s="1"/>
      <c r="X9" s="1"/>
      <c r="Y9" s="1"/>
      <c r="Z9" s="1"/>
    </row>
    <row r="10" ht="14.25" customHeight="1">
      <c r="A10" s="30"/>
      <c r="B10" s="1" t="s">
        <v>29</v>
      </c>
      <c r="C10" s="1"/>
      <c r="D10" s="1"/>
      <c r="E10" s="26">
        <f>E9*100/(100-E7)</f>
        <v>46040.83431</v>
      </c>
      <c r="F10" s="1" t="s">
        <v>26</v>
      </c>
      <c r="G10" s="35" t="s">
        <v>30</v>
      </c>
      <c r="H10" s="36"/>
      <c r="I10" s="36"/>
      <c r="J10" s="37">
        <v>40570.0</v>
      </c>
      <c r="K10" s="38" t="s">
        <v>26</v>
      </c>
      <c r="L10" s="27" t="s">
        <v>31</v>
      </c>
      <c r="M10" s="1"/>
      <c r="N10" s="1"/>
      <c r="O10" s="1"/>
      <c r="P10" s="1"/>
      <c r="Q10" s="1"/>
      <c r="R10" s="1"/>
      <c r="S10" s="1"/>
      <c r="T10" s="1"/>
      <c r="U10" s="29"/>
      <c r="V10" s="1"/>
      <c r="W10" s="1"/>
      <c r="X10" s="1"/>
      <c r="Y10" s="1"/>
      <c r="Z10" s="1"/>
    </row>
    <row r="11" ht="14.25" customHeight="1">
      <c r="A11" s="1"/>
      <c r="B11" s="27" t="s">
        <v>32</v>
      </c>
      <c r="C11" s="1"/>
      <c r="D11" s="1"/>
      <c r="E11" s="26">
        <v>10.0</v>
      </c>
      <c r="F11" s="1" t="s">
        <v>33</v>
      </c>
      <c r="G11" s="27" t="s">
        <v>34</v>
      </c>
      <c r="H11" s="1"/>
      <c r="I11" s="1"/>
      <c r="J11" s="1"/>
      <c r="K11" s="39">
        <f>0.6</f>
        <v>0.6</v>
      </c>
      <c r="L11" s="1" t="s">
        <v>35</v>
      </c>
      <c r="M11" s="1"/>
      <c r="N11" s="1"/>
      <c r="O11" s="1"/>
      <c r="P11" s="1"/>
      <c r="Q11" s="1"/>
      <c r="R11" s="1"/>
      <c r="S11" s="1"/>
      <c r="T11" s="1"/>
      <c r="U11" s="29"/>
      <c r="V11" s="1"/>
      <c r="W11" s="1"/>
      <c r="X11" s="1"/>
      <c r="Y11" s="1"/>
      <c r="Z11" s="1"/>
    </row>
    <row r="12" ht="14.25" customHeight="1">
      <c r="A12" s="1"/>
      <c r="B12" s="27" t="s">
        <v>36</v>
      </c>
      <c r="C12" s="1"/>
      <c r="D12" s="1"/>
      <c r="E12" s="26">
        <v>25.0</v>
      </c>
      <c r="F12" s="1" t="s">
        <v>33</v>
      </c>
      <c r="G12" s="27" t="s">
        <v>34</v>
      </c>
      <c r="H12" s="1"/>
      <c r="I12" s="1"/>
      <c r="J12" s="1"/>
      <c r="K12" s="39">
        <f>0.04</f>
        <v>0.04</v>
      </c>
      <c r="L12" s="1" t="s">
        <v>37</v>
      </c>
      <c r="M12" s="1"/>
      <c r="N12" s="1"/>
      <c r="O12" s="1"/>
      <c r="P12" s="1"/>
      <c r="Q12" s="1"/>
      <c r="R12" s="1"/>
      <c r="S12" s="33"/>
      <c r="T12" s="1"/>
      <c r="U12" s="29"/>
      <c r="V12" s="1"/>
      <c r="W12" s="1"/>
      <c r="X12" s="1"/>
      <c r="Y12" s="1"/>
      <c r="Z12" s="1"/>
    </row>
    <row r="13" ht="14.25" customHeight="1">
      <c r="A13" s="1"/>
      <c r="B13" s="27" t="s">
        <v>38</v>
      </c>
      <c r="C13" s="1"/>
      <c r="D13" s="1"/>
      <c r="E13" s="40">
        <f>Bijlage!T54</f>
        <v>6.5</v>
      </c>
      <c r="F13" s="1" t="s">
        <v>33</v>
      </c>
      <c r="G13" s="27" t="s">
        <v>39</v>
      </c>
      <c r="H13" s="1"/>
      <c r="I13" s="1"/>
      <c r="J13" s="1"/>
      <c r="K13" s="39"/>
      <c r="L13" s="1"/>
      <c r="M13" s="1"/>
      <c r="N13" s="1"/>
      <c r="O13" s="1"/>
      <c r="P13" s="1"/>
      <c r="Q13" s="1"/>
      <c r="R13" s="1"/>
      <c r="S13" s="1"/>
      <c r="T13" s="1"/>
      <c r="U13" s="29"/>
      <c r="V13" s="1"/>
      <c r="W13" s="1"/>
      <c r="X13" s="1"/>
      <c r="Y13" s="1"/>
      <c r="Z13" s="1"/>
    </row>
    <row r="14" ht="14.25" customHeight="1">
      <c r="A14" s="31" t="s">
        <v>40</v>
      </c>
      <c r="B14" s="1" t="s">
        <v>41</v>
      </c>
      <c r="C14" s="1"/>
      <c r="D14" s="1"/>
      <c r="E14" s="41">
        <f>5.4</f>
        <v>5.4</v>
      </c>
      <c r="F14" s="1" t="s">
        <v>42</v>
      </c>
      <c r="G14" s="27" t="s">
        <v>43</v>
      </c>
      <c r="H14" s="1"/>
      <c r="I14" s="1"/>
      <c r="J14" s="1"/>
      <c r="K14" s="28" t="s">
        <v>44</v>
      </c>
      <c r="L14" s="36" t="s">
        <v>45</v>
      </c>
      <c r="M14" s="36"/>
      <c r="N14" s="36"/>
      <c r="O14" s="36"/>
      <c r="P14" s="36"/>
      <c r="Q14" s="36"/>
      <c r="R14" s="36"/>
      <c r="S14" s="1"/>
      <c r="T14" s="1"/>
      <c r="U14" s="29"/>
      <c r="V14" s="1"/>
      <c r="W14" s="1"/>
      <c r="X14" s="1"/>
      <c r="Y14" s="1"/>
      <c r="Z14" s="1"/>
    </row>
    <row r="15" ht="14.25" customHeight="1">
      <c r="A15" s="30"/>
      <c r="B15" s="1" t="s">
        <v>46</v>
      </c>
      <c r="C15" s="1"/>
      <c r="D15" s="1"/>
      <c r="E15" s="26">
        <f>Bijlage!F9</f>
        <v>48600</v>
      </c>
      <c r="F15" s="1" t="s">
        <v>26</v>
      </c>
      <c r="G15" s="27" t="s">
        <v>47</v>
      </c>
      <c r="H15" s="1"/>
      <c r="I15" s="1"/>
      <c r="J15" s="1"/>
      <c r="K15" s="28"/>
      <c r="L15" s="1"/>
      <c r="M15" s="1"/>
      <c r="N15" s="1"/>
      <c r="O15" s="1"/>
      <c r="P15" s="1"/>
      <c r="Q15" s="1"/>
      <c r="R15" s="1"/>
      <c r="S15" s="1"/>
      <c r="T15" s="1"/>
      <c r="U15" s="29"/>
      <c r="V15" s="1"/>
      <c r="W15" s="1"/>
      <c r="X15" s="1"/>
      <c r="Y15" s="1"/>
      <c r="Z15" s="1"/>
    </row>
    <row r="16" ht="14.25" customHeight="1">
      <c r="A16" s="31"/>
      <c r="B16" s="1" t="s">
        <v>48</v>
      </c>
      <c r="C16" s="1"/>
      <c r="D16" s="1"/>
      <c r="E16" s="26">
        <f>(E15/3.6)/E14</f>
        <v>2500</v>
      </c>
      <c r="F16" s="1" t="s">
        <v>49</v>
      </c>
      <c r="G16" s="27" t="s">
        <v>50</v>
      </c>
      <c r="H16" s="32"/>
      <c r="I16" s="32"/>
      <c r="J16" s="32"/>
      <c r="K16" s="28"/>
      <c r="L16" s="1" t="s">
        <v>51</v>
      </c>
      <c r="M16" s="1"/>
      <c r="N16" s="1"/>
      <c r="O16" s="1"/>
      <c r="P16" s="1"/>
      <c r="Q16" s="1"/>
      <c r="R16" s="1"/>
      <c r="S16" s="1"/>
      <c r="T16" s="1"/>
      <c r="U16" s="29"/>
      <c r="V16" s="1"/>
      <c r="W16" s="1"/>
      <c r="X16" s="1"/>
      <c r="Y16" s="1"/>
      <c r="Z16" s="1"/>
    </row>
    <row r="17" ht="14.25" customHeight="1">
      <c r="A17" s="31"/>
      <c r="B17" s="1"/>
      <c r="C17" s="1"/>
      <c r="D17" s="1"/>
      <c r="E17" s="26">
        <v>4000.0</v>
      </c>
      <c r="F17" s="1" t="s">
        <v>49</v>
      </c>
      <c r="G17" s="27" t="s">
        <v>52</v>
      </c>
      <c r="H17" s="32"/>
      <c r="I17" s="32"/>
      <c r="J17" s="32"/>
      <c r="K17" s="28"/>
      <c r="L17" s="1"/>
      <c r="M17" s="1"/>
      <c r="N17" s="1"/>
      <c r="O17" s="1"/>
      <c r="P17" s="1"/>
      <c r="Q17" s="1"/>
      <c r="R17" s="1"/>
      <c r="S17" s="1"/>
      <c r="T17" s="1"/>
      <c r="U17" s="29"/>
      <c r="V17" s="1"/>
      <c r="W17" s="1"/>
      <c r="X17" s="1"/>
      <c r="Y17" s="1"/>
      <c r="Z17" s="1"/>
    </row>
    <row r="18" ht="14.25" customHeight="1">
      <c r="A18" s="31" t="s">
        <v>53</v>
      </c>
      <c r="B18" s="1" t="s">
        <v>54</v>
      </c>
      <c r="C18" s="1"/>
      <c r="D18" s="1"/>
      <c r="E18" s="41">
        <v>2.8</v>
      </c>
      <c r="F18" s="1"/>
      <c r="G18" s="27" t="s">
        <v>55</v>
      </c>
      <c r="H18" s="1"/>
      <c r="I18" s="1"/>
      <c r="J18" s="42">
        <v>4.0</v>
      </c>
      <c r="K18" s="28" t="s">
        <v>56</v>
      </c>
      <c r="L18" s="1" t="s">
        <v>57</v>
      </c>
      <c r="M18" s="1"/>
      <c r="N18" s="1"/>
      <c r="O18" s="1"/>
      <c r="P18" s="1"/>
      <c r="Q18" s="1"/>
      <c r="R18" s="1"/>
      <c r="S18" s="1"/>
      <c r="T18" s="1"/>
      <c r="U18" s="29"/>
      <c r="V18" s="1"/>
      <c r="W18" s="1"/>
      <c r="X18" s="1"/>
      <c r="Y18" s="1"/>
      <c r="Z18" s="1"/>
    </row>
    <row r="19" ht="14.25" customHeight="1">
      <c r="A19" s="25" t="s">
        <v>58</v>
      </c>
      <c r="B19" s="1" t="s">
        <v>59</v>
      </c>
      <c r="C19" s="1"/>
      <c r="D19" s="1"/>
      <c r="E19" s="43">
        <v>43.0</v>
      </c>
      <c r="F19" s="1" t="s">
        <v>26</v>
      </c>
      <c r="G19" s="27"/>
      <c r="H19" s="1"/>
      <c r="I19" s="1"/>
      <c r="J19" s="1"/>
      <c r="K19" s="28"/>
      <c r="L19" s="1"/>
      <c r="M19" s="1"/>
      <c r="N19" s="1"/>
      <c r="O19" s="1"/>
      <c r="P19" s="1"/>
      <c r="Q19" s="1"/>
      <c r="R19" s="1"/>
      <c r="S19" s="1"/>
      <c r="T19" s="1"/>
      <c r="U19" s="29"/>
      <c r="V19" s="1"/>
      <c r="W19" s="1"/>
      <c r="X19" s="1"/>
      <c r="Y19" s="1"/>
      <c r="Z19" s="1"/>
    </row>
    <row r="20" ht="14.25" customHeight="1">
      <c r="A20" s="44"/>
      <c r="B20" s="1" t="s">
        <v>60</v>
      </c>
      <c r="C20" s="1"/>
      <c r="D20" s="1"/>
      <c r="E20" s="45">
        <v>459.0</v>
      </c>
      <c r="F20" s="1" t="s">
        <v>61</v>
      </c>
      <c r="G20" s="27" t="s">
        <v>62</v>
      </c>
      <c r="H20" s="1"/>
      <c r="I20" s="1"/>
      <c r="J20" s="1"/>
      <c r="K20" s="28"/>
      <c r="L20" s="1" t="s">
        <v>63</v>
      </c>
      <c r="M20" s="1"/>
      <c r="N20" s="1"/>
      <c r="O20" s="1" t="s">
        <v>64</v>
      </c>
      <c r="P20" s="1"/>
      <c r="Q20" s="1"/>
      <c r="R20" s="1"/>
      <c r="S20" s="1"/>
      <c r="T20" s="1"/>
      <c r="U20" s="29"/>
      <c r="V20" s="1"/>
      <c r="W20" s="1"/>
      <c r="X20" s="1"/>
      <c r="Y20" s="1"/>
      <c r="Z20" s="1"/>
    </row>
    <row r="21" ht="14.25" customHeight="1">
      <c r="A21" s="30"/>
      <c r="B21" s="1" t="s">
        <v>65</v>
      </c>
      <c r="C21" s="1"/>
      <c r="D21" s="1"/>
      <c r="E21" s="45">
        <f>40</f>
        <v>40</v>
      </c>
      <c r="F21" s="1" t="s">
        <v>66</v>
      </c>
      <c r="G21" s="27"/>
      <c r="H21" s="1"/>
      <c r="I21" s="1"/>
      <c r="J21" s="1"/>
      <c r="K21" s="28"/>
      <c r="L21" s="1" t="s">
        <v>63</v>
      </c>
      <c r="M21" s="1"/>
      <c r="N21" s="1"/>
      <c r="O21" s="1"/>
      <c r="P21" s="1"/>
      <c r="Q21" s="1"/>
      <c r="R21" s="1"/>
      <c r="S21" s="1"/>
      <c r="T21" s="1"/>
      <c r="U21" s="29"/>
      <c r="V21" s="1"/>
      <c r="W21" s="1"/>
      <c r="X21" s="1"/>
      <c r="Y21" s="1"/>
      <c r="Z21" s="1"/>
    </row>
    <row r="22" ht="14.25" customHeight="1">
      <c r="A22" s="30"/>
      <c r="B22" s="1" t="s">
        <v>67</v>
      </c>
      <c r="C22" s="1"/>
      <c r="D22" s="1"/>
      <c r="E22" s="26">
        <v>100.0</v>
      </c>
      <c r="F22" s="1" t="s">
        <v>20</v>
      </c>
      <c r="G22" s="27" t="s">
        <v>68</v>
      </c>
      <c r="H22" s="1"/>
      <c r="I22" s="1"/>
      <c r="J22" s="1"/>
      <c r="K22" s="28"/>
      <c r="L22" s="1" t="s">
        <v>69</v>
      </c>
      <c r="M22" s="1"/>
      <c r="N22" s="1"/>
      <c r="O22" s="1"/>
      <c r="P22" s="1"/>
      <c r="Q22" s="1"/>
      <c r="R22" s="1"/>
      <c r="S22" s="1"/>
      <c r="T22" s="1"/>
      <c r="U22" s="29"/>
      <c r="V22" s="1"/>
      <c r="W22" s="1"/>
      <c r="X22" s="1"/>
      <c r="Y22" s="1"/>
      <c r="Z22" s="1"/>
    </row>
    <row r="23" ht="14.25" customHeight="1">
      <c r="A23" s="46" t="s">
        <v>70</v>
      </c>
      <c r="B23" s="1" t="s">
        <v>71</v>
      </c>
      <c r="C23" s="1"/>
      <c r="D23" s="1"/>
      <c r="E23" s="26">
        <v>300.0</v>
      </c>
      <c r="F23" s="1" t="s">
        <v>72</v>
      </c>
      <c r="G23" s="27" t="s">
        <v>73</v>
      </c>
      <c r="H23" s="1"/>
      <c r="I23" s="1"/>
      <c r="J23" s="1"/>
      <c r="K23" s="28"/>
      <c r="L23" s="1" t="s">
        <v>74</v>
      </c>
      <c r="M23" s="1"/>
      <c r="N23" s="1"/>
      <c r="O23" s="1"/>
      <c r="P23" s="1"/>
      <c r="Q23" s="1"/>
      <c r="R23" s="1"/>
      <c r="S23" s="1"/>
      <c r="T23" s="1"/>
      <c r="U23" s="29"/>
      <c r="V23" s="1"/>
      <c r="W23" s="1"/>
      <c r="X23" s="1"/>
      <c r="Y23" s="1"/>
      <c r="Z23" s="1"/>
    </row>
    <row r="24" ht="14.25" customHeight="1">
      <c r="A24" s="30"/>
      <c r="B24" s="1" t="s">
        <v>75</v>
      </c>
      <c r="C24" s="1"/>
      <c r="D24" s="1"/>
      <c r="E24" s="26">
        <f>E23*E14*2*1000</f>
        <v>3240000</v>
      </c>
      <c r="F24" s="1" t="s">
        <v>61</v>
      </c>
      <c r="G24" s="27"/>
      <c r="H24" s="1"/>
      <c r="I24" s="1"/>
      <c r="J24" s="1"/>
      <c r="K24" s="1"/>
      <c r="L24" s="27"/>
      <c r="M24" s="1"/>
      <c r="N24" s="1"/>
      <c r="O24" s="1"/>
      <c r="P24" s="1"/>
      <c r="Q24" s="1"/>
      <c r="R24" s="1"/>
      <c r="S24" s="1"/>
      <c r="T24" s="1"/>
      <c r="U24" s="29"/>
      <c r="V24" s="1"/>
      <c r="W24" s="1"/>
      <c r="X24" s="1"/>
      <c r="Y24" s="1"/>
      <c r="Z24" s="1"/>
    </row>
    <row r="25" ht="14.25" customHeight="1">
      <c r="A25" s="30"/>
      <c r="B25" s="1" t="s">
        <v>76</v>
      </c>
      <c r="C25" s="1"/>
      <c r="D25" s="1"/>
      <c r="E25" s="26">
        <f>Bijlage!P47</f>
        <v>490625</v>
      </c>
      <c r="F25" s="1" t="s">
        <v>61</v>
      </c>
      <c r="G25" s="27" t="s">
        <v>77</v>
      </c>
      <c r="H25" s="1"/>
      <c r="I25" s="1"/>
      <c r="J25" s="1"/>
      <c r="K25" s="1"/>
      <c r="L25" s="27" t="s">
        <v>78</v>
      </c>
      <c r="M25" s="1"/>
      <c r="N25" s="1"/>
      <c r="O25" s="1"/>
      <c r="P25" s="1"/>
      <c r="Q25" s="1"/>
      <c r="R25" s="1"/>
      <c r="S25" s="1"/>
      <c r="T25" s="1"/>
      <c r="U25" s="29"/>
      <c r="V25" s="1"/>
      <c r="W25" s="1"/>
      <c r="X25" s="1"/>
      <c r="Y25" s="1"/>
      <c r="Z25" s="1"/>
    </row>
    <row r="26" ht="14.25" customHeight="1">
      <c r="A26" s="30"/>
      <c r="B26" s="1" t="s">
        <v>79</v>
      </c>
      <c r="C26" s="1"/>
      <c r="D26" s="1"/>
      <c r="E26" s="26">
        <v>2792000.0</v>
      </c>
      <c r="F26" s="1" t="s">
        <v>61</v>
      </c>
      <c r="G26" s="27" t="s">
        <v>80</v>
      </c>
      <c r="H26" s="1"/>
      <c r="I26" s="1"/>
      <c r="J26" s="1"/>
      <c r="K26" s="28"/>
      <c r="L26" s="32" t="s">
        <v>81</v>
      </c>
      <c r="M26" s="32"/>
      <c r="N26" s="1"/>
      <c r="O26" s="1">
        <v>1400.0</v>
      </c>
      <c r="P26" s="1" t="s">
        <v>72</v>
      </c>
      <c r="Q26" s="1" t="s">
        <v>82</v>
      </c>
      <c r="R26" s="1"/>
      <c r="S26" s="47">
        <f>O26*E14*1000</f>
        <v>7560000</v>
      </c>
      <c r="T26" s="1"/>
      <c r="U26" s="29"/>
      <c r="V26" s="1"/>
      <c r="W26" s="1"/>
      <c r="X26" s="1"/>
      <c r="Y26" s="1"/>
      <c r="Z26" s="1"/>
    </row>
    <row r="27" ht="14.25" customHeight="1">
      <c r="A27" s="30"/>
      <c r="B27" s="1" t="s">
        <v>83</v>
      </c>
      <c r="C27" s="1"/>
      <c r="D27" s="1"/>
      <c r="E27" s="26">
        <f>U27*R27</f>
        <v>2640000</v>
      </c>
      <c r="F27" s="1" t="s">
        <v>61</v>
      </c>
      <c r="G27" s="27" t="s">
        <v>84</v>
      </c>
      <c r="H27" s="1"/>
      <c r="I27" s="1"/>
      <c r="J27" s="1"/>
      <c r="K27" s="28"/>
      <c r="L27" s="48">
        <v>285.0</v>
      </c>
      <c r="M27" s="1" t="s">
        <v>85</v>
      </c>
      <c r="N27" s="1"/>
      <c r="O27" s="48">
        <v>815.0</v>
      </c>
      <c r="P27" s="1" t="s">
        <v>86</v>
      </c>
      <c r="Q27" s="1"/>
      <c r="R27" s="48">
        <f>(L27+O27)/2</f>
        <v>550</v>
      </c>
      <c r="S27" s="1" t="s">
        <v>87</v>
      </c>
      <c r="T27" s="1"/>
      <c r="U27" s="49">
        <f>4800</f>
        <v>4800</v>
      </c>
      <c r="V27" s="1"/>
      <c r="W27" s="1"/>
      <c r="X27" s="1"/>
      <c r="Y27" s="1"/>
      <c r="Z27" s="1"/>
    </row>
    <row r="28" ht="14.25" customHeight="1">
      <c r="A28" s="30"/>
      <c r="B28" s="1" t="s">
        <v>88</v>
      </c>
      <c r="C28" s="1"/>
      <c r="D28" s="1"/>
      <c r="E28" s="26">
        <f>(E6-220-70)*1000+220+300+70*200</f>
        <v>532520</v>
      </c>
      <c r="F28" s="1" t="s">
        <v>61</v>
      </c>
      <c r="G28" s="27" t="s">
        <v>89</v>
      </c>
      <c r="H28" s="1"/>
      <c r="I28" s="1"/>
      <c r="J28" s="1"/>
      <c r="K28" s="28"/>
      <c r="L28" s="1" t="s">
        <v>90</v>
      </c>
      <c r="M28" s="1"/>
      <c r="N28" s="1"/>
      <c r="O28" s="1"/>
      <c r="P28" s="33"/>
      <c r="Q28" s="1"/>
      <c r="R28" s="1"/>
      <c r="S28" s="1" t="s">
        <v>91</v>
      </c>
      <c r="T28" s="1"/>
      <c r="U28" s="29"/>
      <c r="V28" s="1"/>
      <c r="W28" s="1"/>
      <c r="X28" s="1"/>
      <c r="Y28" s="1"/>
      <c r="Z28" s="1"/>
    </row>
    <row r="29" ht="14.25" customHeight="1">
      <c r="A29" s="44" t="s">
        <v>92</v>
      </c>
      <c r="B29" s="1" t="s">
        <v>93</v>
      </c>
      <c r="C29" s="1"/>
      <c r="D29" s="1"/>
      <c r="E29" s="26">
        <f>(E6-220-70)*2500+290*1000</f>
        <v>1585000</v>
      </c>
      <c r="F29" s="1" t="s">
        <v>61</v>
      </c>
      <c r="G29" s="27" t="s">
        <v>94</v>
      </c>
      <c r="H29" s="1"/>
      <c r="I29" s="1"/>
      <c r="J29" s="1"/>
      <c r="K29" s="50"/>
      <c r="L29" s="1" t="s">
        <v>95</v>
      </c>
      <c r="M29" s="1"/>
      <c r="N29" s="1"/>
      <c r="O29" s="1"/>
      <c r="P29" s="1"/>
      <c r="Q29" s="1"/>
      <c r="R29" s="1"/>
      <c r="S29" s="1"/>
      <c r="T29" s="1"/>
      <c r="U29" s="29"/>
      <c r="V29" s="1"/>
      <c r="W29" s="1"/>
      <c r="X29" s="1"/>
      <c r="Y29" s="1"/>
      <c r="Z29" s="1"/>
    </row>
    <row r="30" ht="14.25" customHeight="1">
      <c r="A30" s="30"/>
      <c r="B30" s="1" t="s">
        <v>96</v>
      </c>
      <c r="C30" s="1"/>
      <c r="D30" s="1"/>
      <c r="E30" s="26">
        <v>1000000.0</v>
      </c>
      <c r="F30" s="1" t="s">
        <v>61</v>
      </c>
      <c r="G30" s="27"/>
      <c r="H30" s="1"/>
      <c r="I30" s="1"/>
      <c r="J30" s="1"/>
      <c r="K30" s="50"/>
      <c r="L30" s="1"/>
      <c r="M30" s="1"/>
      <c r="N30" s="1"/>
      <c r="O30" s="1"/>
      <c r="P30" s="1"/>
      <c r="Q30" s="1"/>
      <c r="R30" s="1"/>
      <c r="S30" s="1"/>
      <c r="T30" s="1"/>
      <c r="U30" s="29"/>
      <c r="V30" s="1"/>
      <c r="W30" s="1"/>
      <c r="X30" s="1"/>
      <c r="Y30" s="1"/>
      <c r="Z30" s="1"/>
    </row>
    <row r="31" ht="14.25" customHeight="1">
      <c r="A31" s="44" t="s">
        <v>97</v>
      </c>
      <c r="B31" s="1" t="s">
        <v>98</v>
      </c>
      <c r="C31" s="1"/>
      <c r="D31" s="1"/>
      <c r="E31" s="26">
        <f>SUM(E24:E30)</f>
        <v>12280145</v>
      </c>
      <c r="F31" s="1" t="s">
        <v>61</v>
      </c>
      <c r="G31" s="27" t="s">
        <v>99</v>
      </c>
      <c r="H31" s="1"/>
      <c r="I31" s="1"/>
      <c r="J31" s="1"/>
      <c r="K31" s="51">
        <f>2318*E14*1000</f>
        <v>12517200</v>
      </c>
      <c r="L31" s="1" t="s">
        <v>100</v>
      </c>
      <c r="M31" s="1"/>
      <c r="N31" s="32" t="s">
        <v>101</v>
      </c>
      <c r="O31" s="1"/>
      <c r="P31" s="1"/>
      <c r="Q31" s="33">
        <f>E14*2400000</f>
        <v>12960000</v>
      </c>
      <c r="R31" s="1"/>
      <c r="S31" s="1" t="s">
        <v>102</v>
      </c>
      <c r="T31" s="1"/>
      <c r="U31" s="49"/>
      <c r="V31" s="1"/>
      <c r="W31" s="1"/>
      <c r="X31" s="1"/>
      <c r="Y31" s="1"/>
      <c r="Z31" s="1"/>
    </row>
    <row r="32" ht="14.25" customHeight="1">
      <c r="A32" s="44" t="s">
        <v>103</v>
      </c>
      <c r="B32" s="1" t="s">
        <v>104</v>
      </c>
      <c r="C32" s="1"/>
      <c r="D32" s="1"/>
      <c r="E32" s="45">
        <v>0.2</v>
      </c>
      <c r="F32" s="1" t="s">
        <v>105</v>
      </c>
      <c r="G32" s="27"/>
      <c r="H32" s="32"/>
      <c r="I32" s="32"/>
      <c r="J32" s="32"/>
      <c r="K32" s="28"/>
      <c r="L32" s="1" t="s">
        <v>106</v>
      </c>
      <c r="M32" s="1"/>
      <c r="N32" s="1"/>
      <c r="O32" s="1"/>
      <c r="P32" s="1" t="s">
        <v>107</v>
      </c>
      <c r="Q32" s="52">
        <v>0.06</v>
      </c>
      <c r="R32" s="1" t="s">
        <v>105</v>
      </c>
      <c r="S32" s="1"/>
      <c r="T32" s="1"/>
      <c r="U32" s="29"/>
      <c r="V32" s="1"/>
      <c r="W32" s="1"/>
      <c r="X32" s="1"/>
      <c r="Y32" s="1"/>
      <c r="Z32" s="1"/>
    </row>
    <row r="33" ht="14.25" customHeight="1">
      <c r="A33" s="30"/>
      <c r="B33" s="1" t="s">
        <v>108</v>
      </c>
      <c r="C33" s="1"/>
      <c r="D33" s="1"/>
      <c r="E33" s="26">
        <f>(E15/E18)/3.6+0.8*2000</f>
        <v>6421.428571</v>
      </c>
      <c r="F33" s="1" t="s">
        <v>109</v>
      </c>
      <c r="G33" s="27"/>
      <c r="H33" s="1"/>
      <c r="I33" s="1"/>
      <c r="J33" s="1"/>
      <c r="K33" s="28"/>
      <c r="L33" s="1"/>
      <c r="M33" s="1"/>
      <c r="N33" s="1"/>
      <c r="O33" s="1"/>
      <c r="P33" s="1"/>
      <c r="Q33" s="1"/>
      <c r="R33" s="1"/>
      <c r="S33" s="1"/>
      <c r="T33" s="1"/>
      <c r="U33" s="29"/>
      <c r="V33" s="1"/>
      <c r="W33" s="1"/>
      <c r="X33" s="1"/>
      <c r="Y33" s="1"/>
      <c r="Z33" s="1"/>
    </row>
    <row r="34" ht="14.25" customHeight="1">
      <c r="A34" s="30"/>
      <c r="B34" s="1" t="s">
        <v>110</v>
      </c>
      <c r="C34" s="1"/>
      <c r="D34" s="1"/>
      <c r="E34" s="26">
        <f>E32*E33*1000</f>
        <v>1284285.714</v>
      </c>
      <c r="F34" s="1" t="s">
        <v>61</v>
      </c>
      <c r="G34" s="27"/>
      <c r="H34" s="1"/>
      <c r="I34" s="1"/>
      <c r="J34" s="1"/>
      <c r="K34" s="28"/>
      <c r="L34" s="1"/>
      <c r="M34" s="1"/>
      <c r="N34" s="1"/>
      <c r="O34" s="1"/>
      <c r="P34" s="1"/>
      <c r="Q34" s="1"/>
      <c r="R34" s="1"/>
      <c r="S34" s="1"/>
      <c r="T34" s="1"/>
      <c r="U34" s="29"/>
      <c r="V34" s="1"/>
      <c r="W34" s="1"/>
      <c r="X34" s="1"/>
      <c r="Y34" s="1"/>
      <c r="Z34" s="1"/>
    </row>
    <row r="35" ht="14.25" customHeight="1">
      <c r="A35" s="44"/>
      <c r="B35" s="1" t="s">
        <v>111</v>
      </c>
      <c r="C35" s="1"/>
      <c r="D35" s="1"/>
      <c r="E35" s="53">
        <v>217000.0</v>
      </c>
      <c r="F35" s="1" t="s">
        <v>61</v>
      </c>
      <c r="G35" s="27" t="s">
        <v>112</v>
      </c>
      <c r="H35" s="1"/>
      <c r="I35" s="1"/>
      <c r="J35" s="1"/>
      <c r="K35" s="28"/>
      <c r="L35" s="1" t="s">
        <v>113</v>
      </c>
      <c r="M35" s="54">
        <f>229105</f>
        <v>229105</v>
      </c>
      <c r="N35" s="1" t="s">
        <v>61</v>
      </c>
      <c r="O35" s="32"/>
      <c r="P35" s="32"/>
      <c r="Q35" s="32"/>
      <c r="R35" s="1"/>
      <c r="S35" s="1"/>
      <c r="T35" s="1"/>
      <c r="U35" s="29"/>
      <c r="V35" s="1"/>
      <c r="W35" s="1"/>
      <c r="X35" s="1"/>
      <c r="Y35" s="1"/>
      <c r="Z35" s="1"/>
    </row>
    <row r="36" ht="14.25" customHeight="1">
      <c r="A36" s="30"/>
      <c r="B36" s="1" t="s">
        <v>114</v>
      </c>
      <c r="C36" s="1"/>
      <c r="D36" s="1"/>
      <c r="E36" s="26">
        <f>E34+E35</f>
        <v>1501285.714</v>
      </c>
      <c r="F36" s="1" t="s">
        <v>115</v>
      </c>
      <c r="G36" s="27"/>
      <c r="H36" s="1"/>
      <c r="I36" s="1"/>
      <c r="J36" s="1"/>
      <c r="K36" s="28"/>
      <c r="L36" s="36" t="s">
        <v>116</v>
      </c>
      <c r="M36" s="36"/>
      <c r="N36" s="36"/>
      <c r="O36" s="36"/>
      <c r="P36" s="36"/>
      <c r="Q36" s="36"/>
      <c r="R36" s="36"/>
      <c r="S36" s="1"/>
      <c r="T36" s="1"/>
      <c r="U36" s="29"/>
      <c r="V36" s="1"/>
      <c r="W36" s="1"/>
      <c r="X36" s="1"/>
      <c r="Y36" s="1"/>
      <c r="Z36" s="1"/>
    </row>
    <row r="37" ht="14.25" customHeight="1">
      <c r="A37" s="46" t="s">
        <v>117</v>
      </c>
      <c r="B37" s="1" t="s">
        <v>118</v>
      </c>
      <c r="C37" s="1"/>
      <c r="D37" s="1"/>
      <c r="E37" s="26">
        <v>4.0</v>
      </c>
      <c r="F37" s="1" t="s">
        <v>20</v>
      </c>
      <c r="G37" s="27" t="s">
        <v>119</v>
      </c>
      <c r="H37" s="1"/>
      <c r="I37" s="1"/>
      <c r="J37" s="1"/>
      <c r="K37" s="28"/>
      <c r="L37" s="1" t="s">
        <v>120</v>
      </c>
      <c r="M37" s="1"/>
      <c r="N37" s="1"/>
      <c r="O37" s="1"/>
      <c r="P37" s="1"/>
      <c r="Q37" s="1"/>
      <c r="R37" s="1"/>
      <c r="S37" s="1"/>
      <c r="T37" s="1"/>
      <c r="U37" s="29"/>
      <c r="V37" s="1"/>
      <c r="W37" s="1"/>
      <c r="X37" s="1"/>
      <c r="Y37" s="1"/>
      <c r="Z37" s="1"/>
    </row>
    <row r="38" ht="14.25" customHeight="1">
      <c r="A38" s="30"/>
      <c r="B38" s="1" t="s">
        <v>121</v>
      </c>
      <c r="C38" s="1"/>
      <c r="D38" s="1"/>
      <c r="E38" s="43">
        <f>E31*E37/100</f>
        <v>491205.8</v>
      </c>
      <c r="F38" s="1" t="s">
        <v>61</v>
      </c>
      <c r="G38" s="27" t="s">
        <v>122</v>
      </c>
      <c r="H38" s="1"/>
      <c r="I38" s="1"/>
      <c r="J38" s="1"/>
      <c r="K38" s="28"/>
      <c r="L38" s="55" t="s">
        <v>123</v>
      </c>
      <c r="U38" s="56"/>
      <c r="V38" s="1"/>
      <c r="W38" s="1"/>
      <c r="X38" s="1"/>
      <c r="Y38" s="1"/>
      <c r="Z38" s="1"/>
    </row>
    <row r="39" ht="14.25" customHeight="1">
      <c r="A39" s="44" t="s">
        <v>124</v>
      </c>
      <c r="B39" s="1" t="s">
        <v>125</v>
      </c>
      <c r="C39" s="1"/>
      <c r="D39" s="1"/>
      <c r="E39" s="43">
        <v>700000.0</v>
      </c>
      <c r="F39" s="1" t="s">
        <v>61</v>
      </c>
      <c r="G39" s="27" t="s">
        <v>126</v>
      </c>
      <c r="H39" s="32"/>
      <c r="I39" s="32"/>
      <c r="J39" s="32"/>
      <c r="K39" s="28"/>
      <c r="L39" s="57"/>
      <c r="U39" s="56"/>
      <c r="V39" s="1"/>
      <c r="W39" s="1"/>
      <c r="X39" s="1"/>
      <c r="Y39" s="1"/>
      <c r="Z39" s="1"/>
    </row>
    <row r="40" ht="14.25" customHeight="1">
      <c r="A40" s="44" t="s">
        <v>127</v>
      </c>
      <c r="B40" s="58" t="s">
        <v>128</v>
      </c>
      <c r="C40" s="58"/>
      <c r="D40" s="58"/>
      <c r="E40" s="59">
        <v>3325.0</v>
      </c>
      <c r="F40" s="1" t="s">
        <v>61</v>
      </c>
      <c r="G40" s="60" t="s">
        <v>129</v>
      </c>
      <c r="H40" s="58"/>
      <c r="I40" s="58"/>
      <c r="J40" s="58"/>
      <c r="K40" s="61"/>
      <c r="L40" s="62" t="s">
        <v>130</v>
      </c>
      <c r="U40" s="56"/>
      <c r="V40" s="1"/>
      <c r="W40" s="1"/>
      <c r="X40" s="1"/>
      <c r="Y40" s="1"/>
      <c r="Z40" s="1"/>
    </row>
    <row r="41" ht="14.25" customHeight="1">
      <c r="A41" s="30"/>
      <c r="B41" s="1" t="s">
        <v>131</v>
      </c>
      <c r="C41" s="1"/>
      <c r="D41" s="1"/>
      <c r="E41" s="26">
        <v>6325.0</v>
      </c>
      <c r="F41" s="1" t="s">
        <v>132</v>
      </c>
      <c r="G41" s="27" t="s">
        <v>133</v>
      </c>
      <c r="H41" s="1"/>
      <c r="I41" s="1"/>
      <c r="J41" s="1"/>
      <c r="K41" s="28"/>
      <c r="L41" s="1" t="s">
        <v>134</v>
      </c>
      <c r="M41" s="33">
        <f>E41-E40</f>
        <v>3000</v>
      </c>
      <c r="N41" s="1" t="s">
        <v>61</v>
      </c>
      <c r="O41" s="1" t="s">
        <v>135</v>
      </c>
      <c r="P41" s="1"/>
      <c r="Q41" s="1"/>
      <c r="R41" s="1"/>
      <c r="S41" s="1"/>
      <c r="T41" s="1"/>
      <c r="U41" s="29"/>
      <c r="V41" s="1"/>
      <c r="W41" s="1"/>
      <c r="X41" s="1"/>
      <c r="Y41" s="1"/>
      <c r="Z41" s="1"/>
    </row>
    <row r="42" ht="14.25" customHeight="1">
      <c r="A42" s="30"/>
      <c r="B42" s="1" t="s">
        <v>136</v>
      </c>
      <c r="C42" s="1"/>
      <c r="D42" s="1"/>
      <c r="E42" s="26">
        <f>E6*E20</f>
        <v>370872</v>
      </c>
      <c r="F42" s="1" t="s">
        <v>61</v>
      </c>
      <c r="G42" s="27"/>
      <c r="H42" s="1"/>
      <c r="I42" s="32"/>
      <c r="J42" s="1"/>
      <c r="K42" s="28"/>
      <c r="L42" s="1" t="s">
        <v>137</v>
      </c>
      <c r="M42" s="1"/>
      <c r="N42" s="1"/>
      <c r="O42" s="1"/>
      <c r="P42" s="1"/>
      <c r="Q42" s="1"/>
      <c r="R42" s="1"/>
      <c r="S42" s="1"/>
      <c r="T42" s="1"/>
      <c r="U42" s="29"/>
      <c r="V42" s="1"/>
      <c r="W42" s="1"/>
      <c r="X42" s="1"/>
      <c r="Y42" s="1"/>
      <c r="Z42" s="1"/>
    </row>
    <row r="43" ht="14.25" customHeight="1">
      <c r="A43" s="30"/>
      <c r="B43" s="1" t="s">
        <v>138</v>
      </c>
      <c r="C43" s="1"/>
      <c r="D43" s="1"/>
      <c r="E43" s="26">
        <f>E6*E19*E21</f>
        <v>1389760</v>
      </c>
      <c r="F43" s="1" t="s">
        <v>61</v>
      </c>
      <c r="G43" s="27"/>
      <c r="H43" s="1"/>
      <c r="I43" s="1"/>
      <c r="J43" s="1"/>
      <c r="K43" s="28"/>
      <c r="L43" s="1" t="s">
        <v>137</v>
      </c>
      <c r="M43" s="1"/>
      <c r="N43" s="1"/>
      <c r="O43" s="1"/>
      <c r="P43" s="1"/>
      <c r="Q43" s="1"/>
      <c r="R43" s="1"/>
      <c r="S43" s="1"/>
      <c r="T43" s="1"/>
      <c r="U43" s="29"/>
      <c r="V43" s="1"/>
      <c r="W43" s="1"/>
      <c r="X43" s="1"/>
      <c r="Y43" s="1"/>
      <c r="Z43" s="1"/>
    </row>
    <row r="44" ht="14.25" customHeight="1">
      <c r="A44" s="30"/>
      <c r="B44" s="1" t="s">
        <v>139</v>
      </c>
      <c r="C44" s="1"/>
      <c r="D44" s="1"/>
      <c r="E44" s="26">
        <f>E42+E43</f>
        <v>1760632</v>
      </c>
      <c r="F44" s="1" t="s">
        <v>115</v>
      </c>
      <c r="G44" s="27" t="s">
        <v>140</v>
      </c>
      <c r="H44" s="1"/>
      <c r="I44" s="1"/>
      <c r="J44" s="33">
        <f>E44-E36</f>
        <v>259346.2857</v>
      </c>
      <c r="K44" s="28" t="s">
        <v>115</v>
      </c>
      <c r="L44" s="1" t="s">
        <v>141</v>
      </c>
      <c r="M44" s="1"/>
      <c r="N44" s="1"/>
      <c r="O44" s="1"/>
      <c r="P44" s="1"/>
      <c r="Q44" s="1"/>
      <c r="R44" s="1"/>
      <c r="S44" s="1"/>
      <c r="T44" s="1"/>
      <c r="U44" s="29"/>
      <c r="V44" s="1"/>
      <c r="W44" s="1"/>
      <c r="X44" s="1"/>
      <c r="Y44" s="1"/>
      <c r="Z44" s="1"/>
    </row>
    <row r="45" ht="14.25" customHeight="1">
      <c r="A45" s="30"/>
      <c r="B45" s="27" t="s">
        <v>142</v>
      </c>
      <c r="C45" s="1"/>
      <c r="D45" s="1"/>
      <c r="E45" s="43">
        <f>(E31-(E6*E41)-E38-E39)/(E44-E36)</f>
        <v>23.05157054</v>
      </c>
      <c r="F45" s="28" t="s">
        <v>143</v>
      </c>
      <c r="G45" s="27" t="s">
        <v>144</v>
      </c>
      <c r="H45" s="1"/>
      <c r="I45" s="1"/>
      <c r="J45" s="33"/>
      <c r="K45" s="28"/>
      <c r="L45" s="1" t="s">
        <v>145</v>
      </c>
      <c r="M45" s="1"/>
      <c r="N45" s="1"/>
      <c r="O45" s="1"/>
      <c r="P45" s="1"/>
      <c r="Q45" s="1"/>
      <c r="R45" s="1"/>
      <c r="S45" s="1"/>
      <c r="T45" s="1"/>
      <c r="U45" s="29"/>
      <c r="V45" s="1"/>
      <c r="W45" s="1"/>
      <c r="X45" s="1"/>
      <c r="Y45" s="1"/>
      <c r="Z45" s="1"/>
    </row>
    <row r="46" ht="14.25" customHeight="1">
      <c r="A46" s="44" t="s">
        <v>146</v>
      </c>
      <c r="B46" s="12" t="s">
        <v>147</v>
      </c>
      <c r="C46" s="13"/>
      <c r="D46" s="13"/>
      <c r="E46" s="63">
        <v>50.0</v>
      </c>
      <c r="F46" s="13" t="s">
        <v>20</v>
      </c>
      <c r="G46" s="12" t="s">
        <v>148</v>
      </c>
      <c r="H46" s="13"/>
      <c r="I46" s="13"/>
      <c r="J46" s="64"/>
      <c r="K46" s="15"/>
      <c r="L46" s="13" t="s">
        <v>149</v>
      </c>
      <c r="M46" s="13"/>
      <c r="N46" s="13"/>
      <c r="O46" s="13"/>
      <c r="P46" s="13"/>
      <c r="Q46" s="13"/>
      <c r="R46" s="13"/>
      <c r="S46" s="13"/>
      <c r="T46" s="13"/>
      <c r="U46" s="65"/>
      <c r="V46" s="1"/>
      <c r="W46" s="1"/>
      <c r="X46" s="1"/>
      <c r="Y46" s="1"/>
      <c r="Z46" s="1"/>
    </row>
    <row r="47" ht="14.25" customHeight="1">
      <c r="A47" s="66"/>
      <c r="B47" s="67"/>
      <c r="C47" s="67"/>
      <c r="D47" s="67"/>
      <c r="E47" s="68"/>
      <c r="F47" s="67"/>
      <c r="G47" s="67"/>
      <c r="H47" s="67"/>
      <c r="I47" s="67"/>
      <c r="J47" s="67"/>
      <c r="K47" s="67"/>
      <c r="L47" s="67"/>
      <c r="M47" s="67"/>
      <c r="N47" s="67"/>
      <c r="O47" s="67"/>
      <c r="P47" s="67"/>
      <c r="Q47" s="67"/>
      <c r="R47" s="67"/>
      <c r="S47" s="67"/>
      <c r="T47" s="67"/>
      <c r="U47" s="69"/>
      <c r="V47" s="1"/>
      <c r="W47" s="1"/>
      <c r="X47" s="1"/>
      <c r="Y47" s="1"/>
      <c r="Z47" s="1"/>
    </row>
    <row r="48" ht="14.25" customHeight="1">
      <c r="A48" s="70" t="s">
        <v>18</v>
      </c>
      <c r="B48" s="71" t="s">
        <v>150</v>
      </c>
      <c r="C48" s="72"/>
      <c r="D48" s="72"/>
      <c r="E48" s="72"/>
      <c r="F48" s="72"/>
      <c r="G48" s="72"/>
      <c r="H48" s="73"/>
      <c r="I48" s="1"/>
      <c r="J48" s="1"/>
      <c r="K48" s="1"/>
      <c r="L48" s="1"/>
      <c r="M48" s="1"/>
      <c r="N48" s="1"/>
      <c r="O48" s="1"/>
      <c r="P48" s="1"/>
      <c r="Q48" s="1"/>
      <c r="R48" s="1"/>
      <c r="S48" s="1"/>
      <c r="T48" s="1"/>
      <c r="U48" s="1"/>
      <c r="V48" s="1"/>
      <c r="W48" s="1"/>
      <c r="X48" s="1"/>
      <c r="Y48" s="1"/>
      <c r="Z48" s="1"/>
    </row>
    <row r="49" ht="73.5" customHeight="1">
      <c r="A49" s="31"/>
      <c r="B49" s="74"/>
      <c r="C49" s="75"/>
      <c r="D49" s="75"/>
      <c r="E49" s="75"/>
      <c r="F49" s="75"/>
      <c r="G49" s="75"/>
      <c r="H49" s="76"/>
      <c r="I49" s="1"/>
      <c r="J49" s="77"/>
      <c r="K49" s="77"/>
      <c r="L49" s="77"/>
      <c r="M49" s="77"/>
      <c r="N49" s="77"/>
      <c r="O49" s="77"/>
      <c r="P49" s="77"/>
      <c r="Q49" s="1"/>
      <c r="R49" s="1"/>
      <c r="S49" s="1"/>
      <c r="T49" s="1"/>
      <c r="U49" s="1"/>
      <c r="V49" s="1"/>
      <c r="W49" s="1"/>
      <c r="X49" s="1"/>
      <c r="Y49" s="1"/>
      <c r="Z49" s="1"/>
    </row>
    <row r="50" ht="14.25" customHeight="1">
      <c r="A50" s="31" t="s">
        <v>40</v>
      </c>
      <c r="B50" s="78" t="s">
        <v>151</v>
      </c>
      <c r="C50" s="79"/>
      <c r="D50" s="79"/>
      <c r="E50" s="79"/>
      <c r="F50" s="79"/>
      <c r="G50" s="79"/>
      <c r="H50" s="80"/>
      <c r="I50" s="1"/>
      <c r="J50" s="1"/>
      <c r="K50" s="33"/>
      <c r="L50" s="1"/>
      <c r="M50" s="1"/>
      <c r="N50" s="1"/>
      <c r="O50" s="1"/>
      <c r="P50" s="1"/>
      <c r="Q50" s="1"/>
      <c r="R50" s="1"/>
      <c r="S50" s="1"/>
      <c r="T50" s="1"/>
      <c r="U50" s="1"/>
      <c r="V50" s="1"/>
      <c r="W50" s="1"/>
      <c r="X50" s="1"/>
      <c r="Y50" s="1"/>
      <c r="Z50" s="1"/>
    </row>
    <row r="51" ht="14.25" customHeight="1">
      <c r="A51" s="81" t="s">
        <v>53</v>
      </c>
      <c r="B51" s="82" t="s">
        <v>152</v>
      </c>
      <c r="C51" s="83"/>
      <c r="D51" s="83"/>
      <c r="E51" s="83"/>
      <c r="F51" s="83"/>
      <c r="G51" s="83"/>
      <c r="H51" s="84"/>
      <c r="I51" s="1"/>
      <c r="J51" s="1"/>
      <c r="K51" s="33"/>
      <c r="L51" s="33"/>
      <c r="M51" s="33"/>
      <c r="N51" s="1"/>
      <c r="O51" s="1"/>
      <c r="P51" s="1"/>
      <c r="Q51" s="1"/>
      <c r="R51" s="1"/>
      <c r="S51" s="1"/>
      <c r="T51" s="1"/>
      <c r="U51" s="1"/>
      <c r="V51" s="1"/>
      <c r="W51" s="1"/>
      <c r="X51" s="1"/>
      <c r="Y51" s="1"/>
      <c r="Z51" s="1"/>
    </row>
    <row r="52" ht="14.25" customHeight="1">
      <c r="A52" s="85"/>
      <c r="B52" s="57"/>
      <c r="H52" s="86"/>
      <c r="I52" s="1"/>
      <c r="J52" s="1"/>
      <c r="K52" s="87"/>
      <c r="L52" s="33"/>
      <c r="M52" s="88"/>
      <c r="N52" s="88"/>
      <c r="O52" s="1"/>
      <c r="P52" s="1"/>
      <c r="Q52" s="1"/>
      <c r="R52" s="1"/>
      <c r="S52" s="1"/>
      <c r="T52" s="1"/>
      <c r="U52" s="1"/>
      <c r="V52" s="1"/>
      <c r="W52" s="1"/>
      <c r="X52" s="1"/>
      <c r="Y52" s="1"/>
      <c r="Z52" s="1"/>
    </row>
    <row r="53" ht="14.25" customHeight="1">
      <c r="A53" s="85"/>
      <c r="B53" s="74"/>
      <c r="C53" s="75"/>
      <c r="D53" s="75"/>
      <c r="E53" s="75"/>
      <c r="F53" s="75"/>
      <c r="G53" s="75"/>
      <c r="H53" s="76"/>
      <c r="I53" s="1"/>
      <c r="J53" s="1"/>
      <c r="K53" s="1"/>
      <c r="L53" s="33"/>
      <c r="M53" s="1"/>
      <c r="N53" s="89"/>
      <c r="O53" s="1"/>
      <c r="P53" s="1"/>
      <c r="Q53" s="1"/>
      <c r="R53" s="1"/>
      <c r="S53" s="1"/>
      <c r="T53" s="1"/>
      <c r="U53" s="1"/>
      <c r="V53" s="1"/>
      <c r="W53" s="1"/>
      <c r="X53" s="1"/>
      <c r="Y53" s="1"/>
      <c r="Z53" s="1"/>
    </row>
    <row r="54" ht="15.0" customHeight="1">
      <c r="A54" s="85" t="s">
        <v>153</v>
      </c>
      <c r="B54" s="90" t="s">
        <v>154</v>
      </c>
      <c r="C54" s="79"/>
      <c r="D54" s="79"/>
      <c r="E54" s="79"/>
      <c r="F54" s="79"/>
      <c r="G54" s="79"/>
      <c r="H54" s="80"/>
      <c r="I54" s="1"/>
      <c r="J54" s="1"/>
      <c r="K54" s="1"/>
      <c r="L54" s="1"/>
      <c r="M54" s="91"/>
      <c r="N54" s="1"/>
      <c r="O54" s="1"/>
      <c r="P54" s="1"/>
      <c r="Q54" s="1"/>
      <c r="R54" s="33"/>
      <c r="S54" s="1"/>
      <c r="T54" s="1"/>
      <c r="U54" s="1"/>
      <c r="V54" s="1"/>
      <c r="W54" s="1"/>
      <c r="X54" s="1"/>
      <c r="Y54" s="1"/>
      <c r="Z54" s="1"/>
    </row>
    <row r="55" ht="159.0" customHeight="1">
      <c r="A55" s="44" t="s">
        <v>92</v>
      </c>
      <c r="B55" s="92" t="s">
        <v>155</v>
      </c>
      <c r="C55" s="79"/>
      <c r="D55" s="79"/>
      <c r="E55" s="79"/>
      <c r="F55" s="79"/>
      <c r="G55" s="79"/>
      <c r="H55" s="80"/>
      <c r="I55" s="1"/>
      <c r="J55" s="1"/>
      <c r="K55" s="1"/>
      <c r="L55" s="1"/>
      <c r="M55" s="1"/>
      <c r="N55" s="1"/>
      <c r="O55" s="1"/>
      <c r="P55" s="1"/>
      <c r="Q55" s="1"/>
      <c r="R55" s="1"/>
      <c r="S55" s="1"/>
      <c r="T55" s="1"/>
      <c r="U55" s="1"/>
      <c r="V55" s="1"/>
      <c r="W55" s="1"/>
      <c r="X55" s="1"/>
      <c r="Y55" s="1"/>
      <c r="Z55" s="1"/>
    </row>
    <row r="56" ht="57.0" customHeight="1">
      <c r="A56" s="44" t="s">
        <v>97</v>
      </c>
      <c r="B56" s="92" t="s">
        <v>156</v>
      </c>
      <c r="C56" s="79"/>
      <c r="D56" s="79"/>
      <c r="E56" s="79"/>
      <c r="F56" s="79"/>
      <c r="G56" s="79"/>
      <c r="H56" s="80"/>
      <c r="I56" s="1"/>
      <c r="J56" s="1"/>
      <c r="K56" s="93"/>
      <c r="L56" s="93"/>
      <c r="M56" s="93"/>
      <c r="N56" s="1"/>
      <c r="O56" s="1"/>
      <c r="P56" s="1"/>
      <c r="Q56" s="1"/>
      <c r="R56" s="1"/>
      <c r="S56" s="1"/>
      <c r="T56" s="1"/>
      <c r="U56" s="1"/>
      <c r="V56" s="1"/>
      <c r="W56" s="1"/>
      <c r="X56" s="1"/>
      <c r="Y56" s="1"/>
      <c r="Z56" s="1"/>
    </row>
    <row r="57" ht="28.5" customHeight="1">
      <c r="A57" s="44" t="s">
        <v>103</v>
      </c>
      <c r="B57" s="92" t="s">
        <v>157</v>
      </c>
      <c r="C57" s="79"/>
      <c r="D57" s="79"/>
      <c r="E57" s="79"/>
      <c r="F57" s="79"/>
      <c r="G57" s="79"/>
      <c r="H57" s="80"/>
      <c r="I57" s="1"/>
      <c r="J57" s="1"/>
      <c r="K57" s="93"/>
      <c r="L57" s="93"/>
      <c r="M57" s="93"/>
      <c r="N57" s="1"/>
      <c r="O57" s="1"/>
      <c r="P57" s="1"/>
      <c r="Q57" s="1"/>
      <c r="R57" s="1"/>
      <c r="S57" s="1"/>
      <c r="T57" s="1"/>
      <c r="U57" s="1"/>
      <c r="V57" s="1"/>
      <c r="W57" s="1"/>
      <c r="X57" s="1"/>
      <c r="Y57" s="1"/>
      <c r="Z57" s="1"/>
    </row>
    <row r="58" ht="44.25" customHeight="1">
      <c r="A58" s="44" t="s">
        <v>124</v>
      </c>
      <c r="B58" s="78" t="s">
        <v>158</v>
      </c>
      <c r="C58" s="79"/>
      <c r="D58" s="79"/>
      <c r="E58" s="79"/>
      <c r="F58" s="79"/>
      <c r="G58" s="79"/>
      <c r="H58" s="80"/>
      <c r="I58" s="1"/>
      <c r="J58" s="1"/>
      <c r="K58" s="93"/>
      <c r="L58" s="93"/>
      <c r="M58" s="93"/>
      <c r="N58" s="1"/>
      <c r="O58" s="1"/>
      <c r="P58" s="1"/>
      <c r="Q58" s="1"/>
      <c r="R58" s="1"/>
      <c r="S58" s="1"/>
      <c r="T58" s="1"/>
      <c r="U58" s="1"/>
      <c r="V58" s="1"/>
      <c r="W58" s="1"/>
      <c r="X58" s="1"/>
      <c r="Y58" s="1"/>
      <c r="Z58" s="1"/>
    </row>
    <row r="59" ht="28.5" customHeight="1">
      <c r="A59" s="44" t="s">
        <v>127</v>
      </c>
      <c r="B59" s="78" t="s">
        <v>159</v>
      </c>
      <c r="C59" s="79"/>
      <c r="D59" s="79"/>
      <c r="E59" s="79"/>
      <c r="F59" s="79"/>
      <c r="G59" s="79"/>
      <c r="H59" s="80"/>
      <c r="I59" s="1"/>
      <c r="J59" s="1"/>
      <c r="K59" s="93"/>
      <c r="L59" s="93"/>
      <c r="M59" s="93"/>
      <c r="N59" s="1"/>
      <c r="O59" s="1"/>
      <c r="P59" s="1"/>
      <c r="Q59" s="1"/>
      <c r="R59" s="1"/>
      <c r="S59" s="1"/>
      <c r="T59" s="1"/>
      <c r="U59" s="1"/>
      <c r="V59" s="1"/>
      <c r="W59" s="1"/>
      <c r="X59" s="1"/>
      <c r="Y59" s="1"/>
      <c r="Z59" s="1"/>
    </row>
    <row r="60" ht="14.25" customHeight="1">
      <c r="A60" s="44" t="s">
        <v>146</v>
      </c>
      <c r="B60" s="78" t="s">
        <v>160</v>
      </c>
      <c r="C60" s="79"/>
      <c r="D60" s="79"/>
      <c r="E60" s="79"/>
      <c r="F60" s="79"/>
      <c r="G60" s="79"/>
      <c r="H60" s="80"/>
      <c r="I60" s="1"/>
      <c r="J60" s="1"/>
      <c r="K60" s="93"/>
      <c r="L60" s="93"/>
      <c r="M60" s="93"/>
      <c r="N60" s="1"/>
      <c r="O60" s="1"/>
      <c r="P60" s="1"/>
      <c r="Q60" s="1"/>
      <c r="R60" s="1"/>
      <c r="S60" s="1"/>
      <c r="T60" s="1"/>
      <c r="U60" s="1"/>
      <c r="V60" s="1"/>
      <c r="W60" s="1"/>
      <c r="X60" s="1"/>
      <c r="Y60" s="1"/>
      <c r="Z60" s="1"/>
    </row>
    <row r="61" ht="14.25" customHeight="1">
      <c r="A61" s="1"/>
      <c r="B61" s="1"/>
      <c r="C61" s="1"/>
      <c r="D61" s="1"/>
      <c r="E61" s="2"/>
      <c r="F61" s="1"/>
      <c r="G61" s="1"/>
      <c r="H61" s="1"/>
      <c r="I61" s="1"/>
      <c r="J61" s="1"/>
      <c r="K61" s="1"/>
      <c r="L61" s="1"/>
      <c r="M61" s="1"/>
      <c r="N61" s="1"/>
      <c r="O61" s="1"/>
      <c r="P61" s="1"/>
      <c r="Q61" s="1"/>
      <c r="R61" s="1"/>
      <c r="S61" s="1"/>
      <c r="T61" s="1"/>
      <c r="U61" s="1"/>
      <c r="V61" s="1"/>
      <c r="W61" s="1"/>
      <c r="X61" s="1"/>
      <c r="Y61" s="1"/>
      <c r="Z61" s="1"/>
    </row>
    <row r="62" ht="14.25" customHeight="1">
      <c r="A62" s="1"/>
      <c r="B62" s="1" t="s">
        <v>161</v>
      </c>
      <c r="C62" s="94" t="s">
        <v>162</v>
      </c>
      <c r="D62" s="36"/>
      <c r="E62" s="2"/>
      <c r="F62" s="1"/>
      <c r="G62" s="1"/>
      <c r="H62" s="1"/>
      <c r="I62" s="1"/>
      <c r="J62" s="1"/>
      <c r="K62" s="1"/>
      <c r="L62" s="95"/>
      <c r="M62" s="1"/>
      <c r="N62" s="1"/>
      <c r="O62" s="1"/>
      <c r="P62" s="1"/>
      <c r="Q62" s="1"/>
      <c r="R62" s="1"/>
      <c r="S62" s="1"/>
      <c r="T62" s="1"/>
      <c r="U62" s="1"/>
      <c r="V62" s="1"/>
      <c r="W62" s="1"/>
      <c r="X62" s="1"/>
      <c r="Y62" s="1"/>
      <c r="Z62" s="1"/>
    </row>
    <row r="63" ht="14.25" customHeight="1">
      <c r="A63" s="1"/>
      <c r="B63" s="32" t="s">
        <v>163</v>
      </c>
      <c r="C63" s="32"/>
      <c r="D63" s="32"/>
      <c r="E63" s="2"/>
      <c r="F63" s="32"/>
      <c r="G63" s="32"/>
      <c r="H63" s="1"/>
      <c r="I63" s="1"/>
      <c r="J63" s="1"/>
      <c r="K63" s="1"/>
      <c r="L63" s="95"/>
      <c r="M63" s="1"/>
      <c r="N63" s="1"/>
      <c r="O63" s="1"/>
      <c r="P63" s="1"/>
      <c r="Q63" s="1"/>
      <c r="R63" s="1"/>
      <c r="S63" s="1"/>
      <c r="T63" s="1"/>
      <c r="U63" s="1"/>
      <c r="V63" s="1"/>
      <c r="W63" s="1"/>
      <c r="X63" s="1"/>
      <c r="Y63" s="1"/>
      <c r="Z63" s="1"/>
    </row>
    <row r="64" ht="14.25" customHeight="1">
      <c r="A64" s="1"/>
      <c r="B64" s="1"/>
      <c r="C64" s="1" t="s">
        <v>164</v>
      </c>
      <c r="D64" s="1"/>
      <c r="E64" s="2"/>
      <c r="F64" s="1"/>
      <c r="G64" s="1"/>
      <c r="H64" s="1"/>
      <c r="I64" s="1"/>
      <c r="J64" s="1"/>
      <c r="K64" s="1"/>
      <c r="L64" s="95"/>
      <c r="M64" s="1"/>
      <c r="N64" s="1"/>
      <c r="O64" s="1"/>
      <c r="P64" s="1"/>
      <c r="Q64" s="1"/>
      <c r="R64" s="1"/>
      <c r="S64" s="1"/>
      <c r="T64" s="1"/>
      <c r="U64" s="1"/>
      <c r="V64" s="1"/>
      <c r="W64" s="1"/>
      <c r="X64" s="1"/>
      <c r="Y64" s="1"/>
      <c r="Z64" s="1"/>
    </row>
    <row r="65" ht="14.25" customHeight="1">
      <c r="A65" s="1"/>
      <c r="B65" s="1" t="s">
        <v>165</v>
      </c>
      <c r="C65" s="1"/>
      <c r="D65" s="1"/>
      <c r="E65" s="2"/>
      <c r="F65" s="1"/>
      <c r="G65" s="1"/>
      <c r="H65" s="1"/>
      <c r="I65" s="1"/>
      <c r="J65" s="1"/>
      <c r="K65" s="96"/>
      <c r="L65" s="96"/>
      <c r="M65" s="96"/>
      <c r="N65" s="96"/>
      <c r="O65" s="96"/>
      <c r="P65" s="97"/>
      <c r="Q65" s="1"/>
      <c r="R65" s="1"/>
      <c r="S65" s="1"/>
      <c r="T65" s="1"/>
      <c r="U65" s="1"/>
      <c r="V65" s="1"/>
      <c r="W65" s="1"/>
      <c r="X65" s="1"/>
      <c r="Y65" s="1"/>
      <c r="Z65" s="1"/>
    </row>
    <row r="66" ht="14.25" customHeight="1">
      <c r="A66" s="98"/>
      <c r="B66" s="1"/>
      <c r="C66" s="1" t="s">
        <v>166</v>
      </c>
      <c r="D66" s="1"/>
      <c r="E66" s="2"/>
      <c r="F66" s="1"/>
      <c r="G66" s="1"/>
      <c r="H66" s="1"/>
      <c r="I66" s="1"/>
      <c r="J66" s="1"/>
      <c r="K66" s="96"/>
      <c r="L66" s="96"/>
      <c r="M66" s="96"/>
      <c r="N66" s="96"/>
      <c r="O66" s="96"/>
      <c r="P66" s="97"/>
      <c r="Q66" s="1"/>
      <c r="R66" s="1"/>
      <c r="S66" s="1"/>
      <c r="T66" s="1"/>
      <c r="U66" s="1"/>
      <c r="V66" s="1"/>
      <c r="W66" s="1"/>
      <c r="X66" s="1"/>
      <c r="Y66" s="1"/>
      <c r="Z66" s="1"/>
    </row>
    <row r="67" ht="14.25" customHeight="1">
      <c r="A67" s="1"/>
      <c r="B67" s="1"/>
      <c r="C67" s="1" t="s">
        <v>167</v>
      </c>
      <c r="D67" s="1"/>
      <c r="E67" s="2"/>
      <c r="F67" s="1"/>
      <c r="G67" s="1"/>
      <c r="H67" s="1"/>
      <c r="I67" s="1"/>
      <c r="J67" s="1"/>
      <c r="K67" s="99"/>
      <c r="L67" s="99"/>
      <c r="M67" s="99"/>
      <c r="N67" s="99"/>
      <c r="O67" s="99"/>
      <c r="P67" s="97"/>
      <c r="Q67" s="1"/>
      <c r="R67" s="1"/>
      <c r="S67" s="1"/>
      <c r="T67" s="1"/>
      <c r="U67" s="1"/>
      <c r="V67" s="1"/>
      <c r="W67" s="1"/>
      <c r="X67" s="1"/>
      <c r="Y67" s="1"/>
      <c r="Z67" s="1"/>
    </row>
    <row r="68" ht="14.25" customHeight="1">
      <c r="A68" s="1"/>
      <c r="B68" s="1"/>
      <c r="C68" s="1" t="s">
        <v>168</v>
      </c>
      <c r="D68" s="1"/>
      <c r="E68" s="2"/>
      <c r="F68" s="1"/>
      <c r="G68" s="1"/>
      <c r="H68" s="1"/>
      <c r="I68" s="1"/>
      <c r="J68" s="1"/>
      <c r="K68" s="95"/>
      <c r="L68" s="1"/>
      <c r="M68" s="1"/>
      <c r="N68" s="1"/>
      <c r="O68" s="1"/>
      <c r="P68" s="1"/>
      <c r="Q68" s="1"/>
      <c r="R68" s="1"/>
      <c r="S68" s="1"/>
      <c r="T68" s="1"/>
      <c r="U68" s="1"/>
      <c r="V68" s="1"/>
      <c r="W68" s="1"/>
      <c r="X68" s="1"/>
      <c r="Y68" s="1"/>
      <c r="Z68" s="1"/>
    </row>
    <row r="69" ht="14.25" customHeight="1">
      <c r="A69" s="1"/>
      <c r="B69" s="1"/>
      <c r="C69" s="1" t="s">
        <v>169</v>
      </c>
      <c r="D69" s="1"/>
      <c r="E69" s="2"/>
      <c r="F69" s="1"/>
      <c r="G69" s="1"/>
      <c r="H69" s="1"/>
      <c r="I69" s="1"/>
      <c r="J69" s="1"/>
      <c r="K69" s="95"/>
      <c r="L69" s="1"/>
      <c r="M69" s="33"/>
      <c r="N69" s="32"/>
      <c r="O69" s="48"/>
      <c r="P69" s="1"/>
      <c r="Q69" s="1"/>
      <c r="R69" s="1"/>
      <c r="S69" s="1"/>
      <c r="T69" s="1"/>
      <c r="U69" s="1"/>
      <c r="V69" s="1"/>
      <c r="W69" s="1"/>
      <c r="X69" s="1"/>
      <c r="Y69" s="1"/>
      <c r="Z69" s="1"/>
    </row>
    <row r="70" ht="14.25" customHeight="1">
      <c r="A70" s="1"/>
      <c r="B70" s="1"/>
      <c r="C70" s="1" t="s">
        <v>170</v>
      </c>
      <c r="D70" s="1"/>
      <c r="E70" s="2"/>
      <c r="F70" s="1"/>
      <c r="G70" s="1"/>
      <c r="H70" s="1"/>
      <c r="I70" s="1"/>
      <c r="J70" s="1"/>
      <c r="K70" s="95"/>
      <c r="L70" s="1"/>
      <c r="M70" s="33"/>
      <c r="N70" s="48"/>
      <c r="O70" s="1"/>
      <c r="P70" s="1"/>
      <c r="Q70" s="1"/>
      <c r="R70" s="1"/>
      <c r="S70" s="1"/>
      <c r="T70" s="1"/>
      <c r="U70" s="1"/>
      <c r="V70" s="1"/>
      <c r="W70" s="1"/>
      <c r="X70" s="1"/>
      <c r="Y70" s="1"/>
      <c r="Z70" s="1"/>
    </row>
    <row r="71" ht="14.25" customHeight="1">
      <c r="A71" s="1"/>
      <c r="B71" s="1"/>
      <c r="C71" s="1" t="s">
        <v>171</v>
      </c>
      <c r="D71" s="1"/>
      <c r="E71" s="2"/>
      <c r="F71" s="1"/>
      <c r="G71" s="1"/>
      <c r="H71" s="1"/>
      <c r="I71" s="1"/>
      <c r="J71" s="1"/>
      <c r="K71" s="95"/>
      <c r="L71" s="1"/>
      <c r="M71" s="1"/>
      <c r="N71" s="1"/>
      <c r="O71" s="1"/>
      <c r="P71" s="1"/>
      <c r="Q71" s="1"/>
      <c r="R71" s="1"/>
      <c r="S71" s="1"/>
      <c r="T71" s="1"/>
      <c r="U71" s="1"/>
      <c r="V71" s="1"/>
      <c r="W71" s="1"/>
      <c r="X71" s="1"/>
      <c r="Y71" s="1"/>
      <c r="Z71" s="1"/>
    </row>
    <row r="72" ht="14.25" customHeight="1">
      <c r="A72" s="1"/>
      <c r="B72" s="1" t="s">
        <v>172</v>
      </c>
      <c r="C72" s="1"/>
      <c r="D72" s="1"/>
      <c r="E72" s="2"/>
      <c r="F72" s="1"/>
      <c r="G72" s="1"/>
      <c r="H72" s="1"/>
      <c r="I72" s="1"/>
      <c r="J72" s="1"/>
      <c r="K72" s="95"/>
      <c r="L72" s="1"/>
      <c r="M72" s="1"/>
      <c r="N72" s="1"/>
      <c r="O72" s="1"/>
      <c r="P72" s="1"/>
      <c r="Q72" s="1"/>
      <c r="R72" s="1"/>
      <c r="S72" s="1"/>
      <c r="T72" s="1"/>
      <c r="U72" s="1"/>
      <c r="V72" s="1"/>
      <c r="W72" s="1"/>
      <c r="X72" s="1"/>
      <c r="Y72" s="1"/>
      <c r="Z72" s="1"/>
    </row>
    <row r="73" ht="14.25" customHeight="1">
      <c r="A73" s="1"/>
      <c r="B73" s="1"/>
      <c r="C73" s="1" t="s">
        <v>173</v>
      </c>
      <c r="D73" s="1"/>
      <c r="E73" s="2"/>
      <c r="F73" s="1"/>
      <c r="G73" s="1"/>
      <c r="H73" s="1"/>
      <c r="I73" s="1"/>
      <c r="J73" s="1"/>
      <c r="K73" s="95"/>
      <c r="L73" s="1"/>
      <c r="M73" s="1"/>
      <c r="N73" s="1"/>
      <c r="O73" s="2"/>
      <c r="P73" s="1"/>
      <c r="Q73" s="1"/>
      <c r="R73" s="1"/>
      <c r="S73" s="1"/>
      <c r="T73" s="1"/>
      <c r="U73" s="1"/>
      <c r="V73" s="1"/>
      <c r="W73" s="1"/>
      <c r="X73" s="1"/>
      <c r="Y73" s="1"/>
      <c r="Z73" s="1"/>
    </row>
    <row r="74" ht="14.25" customHeight="1">
      <c r="A74" s="1"/>
      <c r="B74" s="1"/>
      <c r="C74" s="1" t="s">
        <v>174</v>
      </c>
      <c r="D74" s="1"/>
      <c r="E74" s="2"/>
      <c r="F74" s="1"/>
      <c r="G74" s="1"/>
      <c r="H74" s="1"/>
      <c r="I74" s="1"/>
      <c r="J74" s="1"/>
      <c r="K74" s="95"/>
      <c r="L74" s="1"/>
      <c r="M74" s="1"/>
      <c r="N74" s="1"/>
      <c r="O74" s="1"/>
      <c r="P74" s="1"/>
      <c r="Q74" s="1"/>
      <c r="R74" s="1"/>
      <c r="S74" s="1"/>
      <c r="T74" s="1"/>
      <c r="U74" s="1"/>
      <c r="V74" s="1"/>
      <c r="W74" s="1"/>
      <c r="X74" s="1"/>
      <c r="Y74" s="1"/>
      <c r="Z74" s="1"/>
    </row>
    <row r="75" ht="14.25" customHeight="1">
      <c r="A75" s="1"/>
      <c r="B75" s="1"/>
      <c r="C75" s="1" t="s">
        <v>175</v>
      </c>
      <c r="D75" s="1"/>
      <c r="E75" s="2"/>
      <c r="F75" s="1"/>
      <c r="G75" s="1"/>
      <c r="H75" s="1"/>
      <c r="I75" s="1"/>
      <c r="J75" s="1"/>
      <c r="K75" s="95"/>
      <c r="L75" s="1"/>
      <c r="M75" s="1"/>
      <c r="N75" s="1"/>
      <c r="O75" s="1"/>
      <c r="P75" s="1"/>
      <c r="Q75" s="1"/>
      <c r="R75" s="1"/>
      <c r="S75" s="1"/>
      <c r="T75" s="1"/>
      <c r="U75" s="1"/>
      <c r="V75" s="1"/>
      <c r="W75" s="1"/>
      <c r="X75" s="1"/>
      <c r="Y75" s="1"/>
      <c r="Z75" s="1"/>
    </row>
    <row r="76" ht="14.25" customHeight="1">
      <c r="A76" s="1"/>
      <c r="B76" s="1"/>
      <c r="C76" s="1" t="s">
        <v>170</v>
      </c>
      <c r="D76" s="1"/>
      <c r="E76" s="2"/>
      <c r="F76" s="1"/>
      <c r="G76" s="1"/>
      <c r="H76" s="1"/>
      <c r="I76" s="1"/>
      <c r="J76" s="1"/>
      <c r="K76" s="32"/>
      <c r="L76" s="1"/>
      <c r="M76" s="1"/>
      <c r="N76" s="1"/>
      <c r="O76" s="48"/>
      <c r="P76" s="87"/>
      <c r="Q76" s="1"/>
      <c r="R76" s="1"/>
      <c r="S76" s="1"/>
      <c r="T76" s="1"/>
      <c r="U76" s="1"/>
      <c r="V76" s="1"/>
      <c r="W76" s="1"/>
      <c r="X76" s="1"/>
      <c r="Y76" s="1"/>
      <c r="Z76" s="1"/>
    </row>
    <row r="77" ht="14.25" customHeight="1">
      <c r="A77" s="1"/>
      <c r="B77" s="1" t="s">
        <v>176</v>
      </c>
      <c r="C77" s="1"/>
      <c r="D77" s="1"/>
      <c r="E77" s="2"/>
      <c r="F77" s="1"/>
      <c r="G77" s="1"/>
      <c r="H77" s="1"/>
      <c r="I77" s="1"/>
      <c r="J77" s="1"/>
      <c r="K77" s="95"/>
      <c r="L77" s="1"/>
      <c r="M77" s="1"/>
      <c r="N77" s="1"/>
      <c r="O77" s="48"/>
      <c r="P77" s="87"/>
      <c r="Q77" s="1"/>
      <c r="R77" s="1"/>
      <c r="S77" s="1"/>
      <c r="T77" s="1"/>
      <c r="U77" s="1"/>
      <c r="V77" s="1"/>
      <c r="W77" s="1"/>
      <c r="X77" s="1"/>
      <c r="Y77" s="1"/>
      <c r="Z77" s="1"/>
    </row>
    <row r="78" ht="14.25" customHeight="1">
      <c r="A78" s="1"/>
      <c r="B78" s="1"/>
      <c r="C78" s="1" t="s">
        <v>177</v>
      </c>
      <c r="D78" s="1"/>
      <c r="E78" s="2"/>
      <c r="F78" s="1"/>
      <c r="G78" s="1"/>
      <c r="H78" s="1"/>
      <c r="I78" s="1"/>
      <c r="J78" s="1"/>
      <c r="K78" s="1"/>
      <c r="L78" s="1"/>
      <c r="M78" s="1"/>
      <c r="N78" s="1"/>
      <c r="O78" s="1"/>
      <c r="P78" s="1"/>
      <c r="Q78" s="1"/>
      <c r="R78" s="1"/>
      <c r="S78" s="1"/>
      <c r="T78" s="1"/>
      <c r="U78" s="1"/>
      <c r="V78" s="1"/>
      <c r="W78" s="1"/>
      <c r="X78" s="1"/>
      <c r="Y78" s="1"/>
      <c r="Z78" s="1"/>
    </row>
    <row r="79" ht="14.25" customHeight="1">
      <c r="A79" s="1"/>
      <c r="B79" s="1"/>
      <c r="C79" s="1" t="s">
        <v>178</v>
      </c>
      <c r="D79" s="1"/>
      <c r="E79" s="2"/>
      <c r="F79" s="1"/>
      <c r="G79" s="1"/>
      <c r="H79" s="1"/>
      <c r="I79" s="1"/>
      <c r="J79" s="1"/>
      <c r="K79" s="1"/>
      <c r="L79" s="1"/>
      <c r="M79" s="1"/>
      <c r="N79" s="1"/>
      <c r="O79" s="1"/>
      <c r="P79" s="1"/>
      <c r="Q79" s="48"/>
      <c r="R79" s="1"/>
      <c r="S79" s="1"/>
      <c r="T79" s="1"/>
      <c r="U79" s="1"/>
      <c r="V79" s="1"/>
      <c r="W79" s="1"/>
      <c r="X79" s="1"/>
      <c r="Y79" s="1"/>
      <c r="Z79" s="1"/>
    </row>
    <row r="80" ht="14.25" customHeight="1">
      <c r="A80" s="1"/>
      <c r="B80" s="1"/>
      <c r="C80" s="1" t="s">
        <v>179</v>
      </c>
      <c r="D80" s="1"/>
      <c r="E80" s="2"/>
      <c r="F80" s="1"/>
      <c r="G80" s="1"/>
      <c r="H80" s="1"/>
      <c r="I80" s="1"/>
      <c r="J80" s="1"/>
      <c r="K80" s="1"/>
      <c r="L80" s="1"/>
      <c r="M80" s="1"/>
      <c r="N80" s="1"/>
      <c r="O80" s="1"/>
      <c r="P80" s="1"/>
      <c r="Q80" s="48"/>
      <c r="R80" s="1"/>
      <c r="S80" s="1"/>
      <c r="T80" s="1"/>
      <c r="U80" s="1"/>
      <c r="V80" s="1"/>
      <c r="W80" s="1"/>
      <c r="X80" s="1"/>
      <c r="Y80" s="1"/>
      <c r="Z80" s="1"/>
    </row>
    <row r="81" ht="14.25" customHeight="1">
      <c r="A81" s="1"/>
      <c r="B81" s="1"/>
      <c r="C81" s="1" t="s">
        <v>180</v>
      </c>
      <c r="D81" s="1"/>
      <c r="E81" s="2"/>
      <c r="F81" s="1"/>
      <c r="G81" s="1"/>
      <c r="H81" s="1"/>
      <c r="I81" s="1"/>
      <c r="J81" s="1"/>
      <c r="K81" s="1"/>
      <c r="L81" s="1"/>
      <c r="M81" s="1"/>
      <c r="N81" s="1"/>
      <c r="O81" s="1"/>
      <c r="P81" s="1"/>
      <c r="Q81" s="100"/>
      <c r="R81" s="101"/>
      <c r="S81" s="1"/>
      <c r="T81" s="1"/>
      <c r="U81" s="1"/>
      <c r="V81" s="1"/>
      <c r="W81" s="1"/>
      <c r="X81" s="1"/>
      <c r="Y81" s="1"/>
      <c r="Z81" s="1"/>
    </row>
    <row r="82" ht="14.25" customHeight="1">
      <c r="A82" s="1"/>
      <c r="B82" s="1"/>
      <c r="C82" s="1"/>
      <c r="D82" s="1"/>
      <c r="E82" s="1"/>
      <c r="F82" s="1"/>
      <c r="G82" s="1"/>
      <c r="H82" s="1"/>
      <c r="I82" s="1"/>
      <c r="J82" s="1"/>
      <c r="K82" s="1"/>
      <c r="L82" s="1"/>
      <c r="M82" s="1"/>
      <c r="N82" s="1"/>
      <c r="O82" s="1"/>
      <c r="P82" s="34"/>
      <c r="Q82" s="47"/>
      <c r="R82" s="1"/>
      <c r="S82" s="1"/>
      <c r="T82" s="1"/>
      <c r="U82" s="1"/>
      <c r="V82" s="1"/>
      <c r="W82" s="1"/>
      <c r="X82" s="1"/>
      <c r="Y82" s="1"/>
      <c r="Z82" s="1"/>
    </row>
    <row r="83" ht="14.25" customHeight="1">
      <c r="A83" s="1"/>
      <c r="B83" s="1"/>
      <c r="C83" s="1"/>
      <c r="D83" s="1"/>
      <c r="E83" s="1"/>
      <c r="F83" s="1"/>
      <c r="G83" s="1"/>
      <c r="H83" s="1"/>
      <c r="I83" s="1"/>
      <c r="J83" s="1"/>
      <c r="K83" s="1"/>
      <c r="L83" s="1"/>
      <c r="M83" s="1"/>
      <c r="N83" s="1"/>
      <c r="O83" s="1"/>
      <c r="P83" s="102"/>
      <c r="Q83" s="101"/>
      <c r="R83" s="1"/>
      <c r="S83" s="1"/>
      <c r="T83" s="1"/>
      <c r="U83" s="1"/>
      <c r="V83" s="1"/>
      <c r="W83" s="1"/>
      <c r="X83" s="1"/>
      <c r="Y83" s="1"/>
      <c r="Z83" s="1"/>
    </row>
    <row r="84"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ht="14.25" customHeight="1">
      <c r="A86" s="1"/>
      <c r="B86" s="1"/>
      <c r="C86" s="1"/>
      <c r="D86" s="1"/>
      <c r="E86" s="1"/>
      <c r="F86" s="1"/>
      <c r="G86" s="1"/>
      <c r="H86" s="1"/>
      <c r="I86" s="1"/>
      <c r="J86" s="1"/>
      <c r="K86" s="1"/>
      <c r="L86" s="1"/>
      <c r="M86" s="1"/>
      <c r="N86" s="1"/>
      <c r="O86" s="2"/>
      <c r="P86" s="1"/>
      <c r="Q86" s="1"/>
      <c r="R86" s="1"/>
      <c r="S86" s="1"/>
      <c r="T86" s="1"/>
      <c r="U86" s="1"/>
      <c r="V86" s="1"/>
      <c r="W86" s="1"/>
      <c r="X86" s="1"/>
      <c r="Y86" s="1"/>
      <c r="Z86" s="1"/>
    </row>
    <row r="87" ht="14.25" customHeight="1">
      <c r="A87" s="1"/>
      <c r="B87" s="1"/>
      <c r="C87" s="1"/>
      <c r="D87" s="1"/>
      <c r="E87" s="1"/>
      <c r="F87" s="1"/>
      <c r="G87" s="1"/>
      <c r="H87" s="1"/>
      <c r="I87" s="1"/>
      <c r="J87" s="1"/>
      <c r="K87" s="1"/>
      <c r="L87" s="1"/>
      <c r="M87" s="1"/>
      <c r="N87" s="1"/>
      <c r="O87" s="2"/>
      <c r="P87" s="1"/>
      <c r="Q87" s="1"/>
      <c r="R87" s="1"/>
      <c r="S87" s="1"/>
      <c r="T87" s="1"/>
      <c r="U87" s="1"/>
      <c r="V87" s="1"/>
      <c r="W87" s="1"/>
      <c r="X87" s="1"/>
      <c r="Y87" s="1"/>
      <c r="Z87" s="1"/>
    </row>
    <row r="88" ht="14.25" customHeight="1">
      <c r="A88" s="1"/>
      <c r="B88" s="1"/>
      <c r="C88" s="1"/>
      <c r="D88" s="1"/>
      <c r="E88" s="1"/>
      <c r="F88" s="1"/>
      <c r="G88" s="1"/>
      <c r="H88" s="1"/>
      <c r="I88" s="1"/>
      <c r="J88" s="1"/>
      <c r="K88" s="1"/>
      <c r="L88" s="1"/>
      <c r="M88" s="1"/>
      <c r="N88" s="1"/>
      <c r="O88" s="2"/>
      <c r="P88" s="1"/>
      <c r="Q88" s="1"/>
      <c r="R88" s="1"/>
      <c r="S88" s="1"/>
      <c r="T88" s="1"/>
      <c r="U88" s="1"/>
      <c r="V88" s="1"/>
      <c r="W88" s="1"/>
      <c r="X88" s="1"/>
      <c r="Y88" s="1"/>
      <c r="Z88" s="1"/>
    </row>
    <row r="89" ht="14.25" customHeight="1">
      <c r="A89" s="1"/>
      <c r="B89" s="1"/>
      <c r="C89" s="1"/>
      <c r="D89" s="1"/>
      <c r="E89" s="1"/>
      <c r="F89" s="1"/>
      <c r="G89" s="1"/>
      <c r="H89" s="1"/>
      <c r="I89" s="1"/>
      <c r="J89" s="1"/>
      <c r="K89" s="1"/>
      <c r="L89" s="1"/>
      <c r="M89" s="1"/>
      <c r="N89" s="1"/>
      <c r="O89" s="2"/>
      <c r="P89" s="1"/>
      <c r="Q89" s="1"/>
      <c r="R89" s="1"/>
      <c r="S89" s="1"/>
      <c r="T89" s="1"/>
      <c r="U89" s="1"/>
      <c r="V89" s="1"/>
      <c r="W89" s="1"/>
      <c r="X89" s="1"/>
      <c r="Y89" s="1"/>
      <c r="Z89" s="1"/>
    </row>
    <row r="90" ht="14.25" customHeight="1">
      <c r="A90" s="1"/>
      <c r="B90" s="1"/>
      <c r="C90" s="1"/>
      <c r="D90" s="1"/>
      <c r="E90" s="1"/>
      <c r="F90" s="1"/>
      <c r="G90" s="1"/>
      <c r="H90" s="1"/>
      <c r="I90" s="1"/>
      <c r="J90" s="1"/>
      <c r="K90" s="1"/>
      <c r="L90" s="1"/>
      <c r="M90" s="33"/>
      <c r="N90" s="1"/>
      <c r="O90" s="2"/>
      <c r="P90" s="1"/>
      <c r="Q90" s="1"/>
      <c r="R90" s="1"/>
      <c r="S90" s="1"/>
      <c r="T90" s="1"/>
      <c r="U90" s="1"/>
      <c r="V90" s="1"/>
      <c r="W90" s="1"/>
      <c r="X90" s="1"/>
      <c r="Y90" s="1"/>
      <c r="Z90" s="1"/>
    </row>
    <row r="91" ht="14.25" customHeight="1">
      <c r="A91" s="1"/>
      <c r="B91" s="1"/>
      <c r="C91" s="1"/>
      <c r="D91" s="1"/>
      <c r="E91" s="1"/>
      <c r="F91" s="1"/>
      <c r="G91" s="1"/>
      <c r="H91" s="1"/>
      <c r="I91" s="1"/>
      <c r="J91" s="1"/>
      <c r="K91" s="1"/>
      <c r="L91" s="1"/>
      <c r="M91" s="33"/>
      <c r="N91" s="1"/>
      <c r="O91" s="2"/>
      <c r="P91" s="1"/>
      <c r="Q91" s="1"/>
      <c r="R91" s="1"/>
      <c r="S91" s="1"/>
      <c r="T91" s="1"/>
      <c r="U91" s="1"/>
      <c r="V91" s="1"/>
      <c r="W91" s="1"/>
      <c r="X91" s="1"/>
      <c r="Y91" s="1"/>
      <c r="Z91" s="1"/>
    </row>
    <row r="92" ht="14.25" customHeight="1">
      <c r="A92" s="1"/>
      <c r="B92" s="1"/>
      <c r="C92" s="1"/>
      <c r="D92" s="1"/>
      <c r="E92" s="2"/>
      <c r="F92" s="1"/>
      <c r="G92" s="1"/>
      <c r="H92" s="1"/>
      <c r="I92" s="1"/>
      <c r="J92" s="1"/>
      <c r="K92" s="1"/>
      <c r="L92" s="1"/>
      <c r="M92" s="1"/>
      <c r="N92" s="1"/>
      <c r="O92" s="2"/>
      <c r="P92" s="1"/>
      <c r="Q92" s="1"/>
      <c r="R92" s="1"/>
      <c r="S92" s="1"/>
      <c r="T92" s="1"/>
      <c r="U92" s="1"/>
      <c r="V92" s="1"/>
      <c r="W92" s="1"/>
      <c r="X92" s="1"/>
      <c r="Y92" s="1"/>
      <c r="Z92" s="1"/>
    </row>
    <row r="93" ht="14.25" customHeight="1">
      <c r="A93" s="1"/>
      <c r="B93" s="1"/>
      <c r="C93" s="1"/>
      <c r="D93" s="1"/>
      <c r="E93" s="2"/>
      <c r="F93" s="1"/>
      <c r="G93" s="1"/>
      <c r="H93" s="1"/>
      <c r="I93" s="1"/>
      <c r="J93" s="1"/>
      <c r="K93" s="1"/>
      <c r="L93" s="1"/>
      <c r="M93" s="1"/>
      <c r="N93" s="1"/>
      <c r="O93" s="1"/>
      <c r="P93" s="1"/>
      <c r="Q93" s="1"/>
      <c r="R93" s="1"/>
      <c r="S93" s="1"/>
      <c r="T93" s="1"/>
      <c r="U93" s="1"/>
      <c r="V93" s="1"/>
      <c r="W93" s="1"/>
      <c r="X93" s="1"/>
      <c r="Y93" s="1"/>
      <c r="Z93" s="1"/>
    </row>
    <row r="94" ht="14.25" customHeight="1">
      <c r="A94" s="1"/>
      <c r="B94" s="32"/>
      <c r="E94" s="1"/>
      <c r="F94" s="1"/>
      <c r="G94" s="1"/>
      <c r="H94" s="1"/>
      <c r="I94" s="1"/>
      <c r="J94" s="1"/>
      <c r="K94" s="1"/>
      <c r="L94" s="1"/>
      <c r="M94" s="1"/>
      <c r="N94" s="1"/>
      <c r="O94" s="1"/>
      <c r="P94" s="1"/>
      <c r="Q94" s="1"/>
      <c r="R94" s="1"/>
      <c r="S94" s="1"/>
      <c r="T94" s="1"/>
      <c r="U94" s="1"/>
      <c r="V94" s="1"/>
      <c r="W94" s="1"/>
      <c r="X94" s="1"/>
      <c r="Y94" s="1"/>
      <c r="Z94" s="1"/>
    </row>
    <row r="95" ht="14.25" customHeight="1">
      <c r="A95" s="1"/>
      <c r="B95" s="32"/>
      <c r="E95" s="1"/>
      <c r="F95" s="1"/>
      <c r="G95" s="1"/>
      <c r="H95" s="103"/>
      <c r="I95" s="1"/>
      <c r="J95" s="48"/>
      <c r="K95" s="1"/>
      <c r="L95" s="1"/>
      <c r="M95" s="1"/>
      <c r="N95" s="1"/>
      <c r="O95" s="1"/>
      <c r="P95" s="1"/>
      <c r="Q95" s="1"/>
      <c r="R95" s="1"/>
      <c r="S95" s="1"/>
      <c r="T95" s="1"/>
      <c r="U95" s="1"/>
      <c r="V95" s="1"/>
      <c r="W95" s="1"/>
      <c r="X95" s="1"/>
      <c r="Y95" s="1"/>
      <c r="Z95" s="1"/>
    </row>
    <row r="96" ht="14.25" customHeight="1">
      <c r="A96" s="1"/>
      <c r="B96" s="32"/>
      <c r="E96" s="48"/>
      <c r="F96" s="1"/>
      <c r="G96" s="1"/>
      <c r="H96" s="48"/>
      <c r="I96" s="104"/>
      <c r="J96" s="1"/>
      <c r="K96" s="1"/>
      <c r="L96" s="1"/>
      <c r="M96" s="1"/>
      <c r="N96" s="1"/>
      <c r="O96" s="1"/>
      <c r="P96" s="1"/>
      <c r="Q96" s="1"/>
      <c r="R96" s="1"/>
      <c r="S96" s="1"/>
      <c r="T96" s="1"/>
      <c r="U96" s="1"/>
      <c r="V96" s="1"/>
      <c r="W96" s="1"/>
      <c r="X96" s="1"/>
      <c r="Y96" s="1"/>
      <c r="Z96" s="1"/>
    </row>
    <row r="97" ht="14.25" customHeight="1">
      <c r="A97" s="1"/>
      <c r="B97" s="32"/>
      <c r="E97" s="48"/>
      <c r="F97" s="1"/>
      <c r="G97" s="1"/>
      <c r="H97" s="1"/>
      <c r="I97" s="1"/>
      <c r="J97" s="33"/>
      <c r="K97" s="1"/>
      <c r="L97" s="1"/>
      <c r="M97" s="1"/>
      <c r="N97" s="1"/>
      <c r="O97" s="1"/>
      <c r="P97" s="1"/>
      <c r="Q97" s="1"/>
      <c r="R97" s="1"/>
      <c r="S97" s="1"/>
      <c r="T97" s="1"/>
      <c r="U97" s="1"/>
      <c r="V97" s="1"/>
      <c r="W97" s="1"/>
      <c r="X97" s="1"/>
      <c r="Y97" s="1"/>
      <c r="Z97" s="1"/>
    </row>
    <row r="98" ht="14.25" customHeight="1">
      <c r="A98" s="1"/>
      <c r="B98" s="32"/>
      <c r="E98" s="1"/>
      <c r="F98" s="1"/>
      <c r="G98" s="1"/>
      <c r="H98" s="48"/>
      <c r="I98" s="1"/>
      <c r="J98" s="1"/>
      <c r="K98" s="1"/>
      <c r="L98" s="1"/>
      <c r="M98" s="1"/>
      <c r="N98" s="1"/>
      <c r="O98" s="1"/>
      <c r="P98" s="1"/>
      <c r="Q98" s="1"/>
      <c r="R98" s="1"/>
      <c r="S98" s="1"/>
      <c r="T98" s="1"/>
      <c r="U98" s="1"/>
      <c r="V98" s="1"/>
      <c r="W98" s="1"/>
      <c r="X98" s="1"/>
      <c r="Y98" s="1"/>
      <c r="Z98" s="1"/>
    </row>
    <row r="99" ht="14.25" customHeight="1">
      <c r="A99" s="1"/>
      <c r="B99" s="32"/>
      <c r="E99" s="1"/>
      <c r="F99" s="1"/>
      <c r="G99" s="1"/>
      <c r="H99" s="1"/>
      <c r="I99" s="1"/>
      <c r="J99" s="1"/>
      <c r="K99" s="1"/>
      <c r="L99" s="1"/>
      <c r="M99" s="1"/>
      <c r="N99" s="1"/>
      <c r="O99" s="1"/>
      <c r="P99" s="1"/>
      <c r="Q99" s="1"/>
      <c r="R99" s="1"/>
      <c r="S99" s="1"/>
      <c r="T99" s="1"/>
      <c r="U99" s="1"/>
      <c r="V99" s="1"/>
      <c r="W99" s="1"/>
      <c r="X99" s="1"/>
      <c r="Y99" s="1"/>
      <c r="Z99" s="1"/>
    </row>
    <row r="100" ht="14.25" customHeight="1">
      <c r="A100" s="1"/>
      <c r="B100" s="32"/>
      <c r="E100" s="1"/>
      <c r="F100" s="1"/>
      <c r="G100" s="1"/>
      <c r="H100" s="1"/>
      <c r="I100" s="1"/>
      <c r="J100" s="1"/>
      <c r="K100" s="1"/>
      <c r="L100" s="48"/>
      <c r="M100" s="1"/>
      <c r="N100" s="1"/>
      <c r="O100" s="1"/>
      <c r="P100" s="1"/>
      <c r="Q100" s="1"/>
      <c r="R100" s="1"/>
      <c r="S100" s="1"/>
      <c r="T100" s="1"/>
      <c r="U100" s="1"/>
      <c r="V100" s="1"/>
      <c r="W100" s="1"/>
      <c r="X100" s="1"/>
      <c r="Y100" s="1"/>
      <c r="Z100" s="1"/>
    </row>
    <row r="101" ht="14.25" customHeight="1">
      <c r="A101" s="1"/>
      <c r="B101" s="32"/>
      <c r="E101" s="1"/>
      <c r="F101" s="1"/>
      <c r="G101" s="1"/>
      <c r="H101" s="1"/>
      <c r="I101" s="1"/>
      <c r="J101" s="91"/>
      <c r="K101" s="1"/>
      <c r="L101" s="48"/>
      <c r="M101" s="1"/>
      <c r="N101" s="48"/>
      <c r="O101" s="1"/>
      <c r="P101" s="1"/>
      <c r="Q101" s="1"/>
      <c r="R101" s="1"/>
      <c r="S101" s="1"/>
      <c r="T101" s="1"/>
      <c r="U101" s="1"/>
      <c r="V101" s="1"/>
      <c r="W101" s="1"/>
      <c r="X101" s="1"/>
      <c r="Y101" s="1"/>
      <c r="Z101" s="1"/>
    </row>
    <row r="102" ht="14.25" customHeight="1">
      <c r="A102" s="1"/>
      <c r="B102" s="32"/>
      <c r="E102" s="48"/>
      <c r="F102" s="1"/>
      <c r="G102" s="1"/>
      <c r="H102" s="1"/>
      <c r="I102" s="1"/>
      <c r="J102" s="1"/>
      <c r="K102" s="1"/>
      <c r="L102" s="1"/>
      <c r="M102" s="1"/>
      <c r="N102" s="48"/>
      <c r="O102" s="1"/>
      <c r="P102" s="1"/>
      <c r="Q102" s="1"/>
      <c r="R102" s="1"/>
      <c r="S102" s="1"/>
      <c r="T102" s="1"/>
      <c r="U102" s="1"/>
      <c r="V102" s="1"/>
      <c r="W102" s="1"/>
      <c r="X102" s="1"/>
      <c r="Y102" s="1"/>
      <c r="Z102" s="1"/>
    </row>
    <row r="103" ht="14.25" customHeight="1">
      <c r="A103" s="1"/>
      <c r="B103" s="32"/>
      <c r="E103" s="1"/>
      <c r="F103" s="1"/>
      <c r="G103" s="1"/>
      <c r="H103" s="1"/>
      <c r="I103" s="1"/>
      <c r="J103" s="1"/>
      <c r="K103" s="1"/>
      <c r="L103" s="1"/>
      <c r="M103" s="1"/>
      <c r="N103" s="1"/>
      <c r="O103" s="1"/>
      <c r="P103" s="1"/>
      <c r="Q103" s="1"/>
      <c r="R103" s="1"/>
      <c r="S103" s="1"/>
      <c r="T103" s="1"/>
      <c r="U103" s="1"/>
      <c r="V103" s="1"/>
      <c r="W103" s="1"/>
      <c r="X103" s="1"/>
      <c r="Y103" s="1"/>
      <c r="Z103" s="1"/>
    </row>
    <row r="104" ht="14.25" customHeight="1">
      <c r="A104" s="1"/>
      <c r="B104" s="32"/>
      <c r="E104" s="1"/>
      <c r="F104" s="1"/>
      <c r="G104" s="1"/>
      <c r="H104" s="1"/>
      <c r="I104" s="1"/>
      <c r="J104" s="1"/>
      <c r="K104" s="48"/>
      <c r="L104" s="1"/>
      <c r="M104" s="1"/>
      <c r="N104" s="1"/>
      <c r="O104" s="1"/>
      <c r="P104" s="1"/>
      <c r="Q104" s="1"/>
      <c r="R104" s="1"/>
      <c r="S104" s="1"/>
      <c r="T104" s="1"/>
      <c r="U104" s="1"/>
      <c r="V104" s="1"/>
      <c r="W104" s="1"/>
      <c r="X104" s="1"/>
      <c r="Y104" s="1"/>
      <c r="Z104" s="1"/>
    </row>
    <row r="105" ht="14.25" customHeight="1">
      <c r="A105" s="1"/>
      <c r="B105" s="32"/>
      <c r="E105" s="1"/>
      <c r="F105" s="1"/>
      <c r="G105" s="1"/>
      <c r="H105" s="48"/>
      <c r="I105" s="1"/>
      <c r="J105" s="1"/>
      <c r="K105" s="1"/>
      <c r="L105" s="1"/>
      <c r="M105" s="1"/>
      <c r="N105" s="1"/>
      <c r="O105" s="1"/>
      <c r="P105" s="1"/>
      <c r="Q105" s="1"/>
      <c r="R105" s="1"/>
      <c r="S105" s="1"/>
      <c r="T105" s="1"/>
      <c r="U105" s="1"/>
      <c r="V105" s="1"/>
      <c r="W105" s="1"/>
      <c r="X105" s="1"/>
      <c r="Y105" s="1"/>
      <c r="Z105" s="1"/>
    </row>
    <row r="106" ht="14.25" customHeight="1">
      <c r="A106" s="1"/>
      <c r="B106" s="32"/>
      <c r="E106" s="1"/>
      <c r="F106" s="1"/>
      <c r="G106" s="1"/>
      <c r="H106" s="1"/>
      <c r="I106" s="1"/>
      <c r="J106" s="1"/>
      <c r="K106" s="1"/>
      <c r="L106" s="1"/>
      <c r="M106" s="1"/>
      <c r="N106" s="1"/>
      <c r="O106" s="1"/>
      <c r="P106" s="1"/>
      <c r="Q106" s="1"/>
      <c r="R106" s="1"/>
      <c r="S106" s="1"/>
      <c r="T106" s="1"/>
      <c r="U106" s="1"/>
      <c r="V106" s="1"/>
      <c r="W106" s="1"/>
      <c r="X106" s="1"/>
      <c r="Y106" s="1"/>
      <c r="Z106" s="1"/>
    </row>
    <row r="107" ht="14.25" customHeight="1">
      <c r="A107" s="1"/>
      <c r="B107" s="32"/>
      <c r="E107" s="1"/>
      <c r="F107" s="1"/>
      <c r="G107" s="1"/>
      <c r="H107" s="1"/>
      <c r="I107" s="1"/>
      <c r="J107" s="1"/>
      <c r="K107" s="1"/>
      <c r="L107" s="1"/>
      <c r="M107" s="1"/>
      <c r="N107" s="1"/>
      <c r="O107" s="1"/>
      <c r="P107" s="1"/>
      <c r="Q107" s="1"/>
      <c r="R107" s="1"/>
      <c r="S107" s="1"/>
      <c r="T107" s="1"/>
      <c r="U107" s="1"/>
      <c r="V107" s="1"/>
      <c r="W107" s="1"/>
      <c r="X107" s="1"/>
      <c r="Y107" s="1"/>
      <c r="Z107" s="1"/>
    </row>
    <row r="108" ht="14.25" customHeight="1">
      <c r="A108" s="1"/>
      <c r="B108" s="32"/>
      <c r="E108" s="105"/>
      <c r="F108" s="1"/>
      <c r="G108" s="1"/>
      <c r="H108" s="1"/>
      <c r="I108" s="1"/>
      <c r="J108" s="1"/>
      <c r="K108" s="48"/>
      <c r="L108" s="1"/>
      <c r="M108" s="1"/>
      <c r="N108" s="1"/>
      <c r="O108" s="1"/>
      <c r="P108" s="1"/>
      <c r="Q108" s="1"/>
      <c r="R108" s="1"/>
      <c r="S108" s="1"/>
      <c r="T108" s="1"/>
      <c r="U108" s="1"/>
      <c r="V108" s="1"/>
      <c r="W108" s="1"/>
      <c r="X108" s="1"/>
      <c r="Y108" s="1"/>
      <c r="Z108" s="1"/>
    </row>
    <row r="109" ht="14.25" customHeight="1">
      <c r="A109" s="1"/>
      <c r="B109" s="32"/>
      <c r="E109" s="1"/>
      <c r="F109" s="1"/>
      <c r="G109" s="1"/>
      <c r="H109" s="1"/>
      <c r="I109" s="1"/>
      <c r="J109" s="1"/>
      <c r="K109" s="1"/>
      <c r="L109" s="1"/>
      <c r="M109" s="1"/>
      <c r="N109" s="1"/>
      <c r="O109" s="1"/>
      <c r="P109" s="1"/>
      <c r="Q109" s="1"/>
      <c r="R109" s="1"/>
      <c r="S109" s="1"/>
      <c r="T109" s="1"/>
      <c r="U109" s="1"/>
      <c r="V109" s="1"/>
      <c r="W109" s="1"/>
      <c r="X109" s="1"/>
      <c r="Y109" s="1"/>
      <c r="Z109" s="1"/>
    </row>
    <row r="110" ht="14.25" customHeight="1">
      <c r="A110" s="1"/>
      <c r="B110" s="32"/>
      <c r="E110" s="48"/>
      <c r="F110" s="1"/>
      <c r="G110" s="1"/>
      <c r="H110" s="1"/>
      <c r="I110" s="1"/>
      <c r="J110" s="1"/>
      <c r="K110" s="1"/>
      <c r="L110" s="1"/>
      <c r="M110" s="1"/>
      <c r="N110" s="1"/>
      <c r="O110" s="1"/>
      <c r="P110" s="1"/>
      <c r="Q110" s="1"/>
      <c r="R110" s="1"/>
      <c r="S110" s="1"/>
      <c r="T110" s="1"/>
      <c r="U110" s="1"/>
      <c r="V110" s="1"/>
      <c r="W110" s="1"/>
      <c r="X110" s="1"/>
      <c r="Y110" s="1"/>
      <c r="Z110" s="1"/>
    </row>
    <row r="111" ht="14.25" customHeight="1">
      <c r="A111" s="1"/>
      <c r="B111" s="1"/>
      <c r="C111" s="1"/>
      <c r="D111" s="1"/>
      <c r="E111" s="1"/>
      <c r="F111" s="1"/>
      <c r="G111" s="1"/>
      <c r="H111" s="48"/>
      <c r="I111" s="1"/>
      <c r="J111" s="1"/>
      <c r="K111" s="1"/>
      <c r="L111" s="1"/>
      <c r="M111" s="1"/>
      <c r="N111" s="1"/>
      <c r="O111" s="1"/>
      <c r="P111" s="1"/>
      <c r="Q111" s="1"/>
      <c r="R111" s="1"/>
      <c r="S111" s="1"/>
      <c r="T111" s="1"/>
      <c r="U111" s="1"/>
      <c r="V111" s="1"/>
      <c r="W111" s="1"/>
      <c r="X111" s="1"/>
      <c r="Y111" s="1"/>
      <c r="Z111" s="1"/>
    </row>
    <row r="112"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ht="14.25" customHeight="1">
      <c r="A113" s="1"/>
      <c r="B113" s="1"/>
      <c r="C113" s="1"/>
      <c r="D113" s="1"/>
      <c r="E113" s="1"/>
      <c r="F113" s="1"/>
      <c r="G113" s="1"/>
      <c r="H113" s="1"/>
      <c r="I113" s="1"/>
      <c r="J113" s="1"/>
      <c r="K113" s="1"/>
      <c r="L113" s="1"/>
      <c r="M113" s="1"/>
      <c r="N113" s="91"/>
      <c r="O113" s="1"/>
      <c r="P113" s="1"/>
      <c r="Q113" s="1"/>
      <c r="R113" s="1"/>
      <c r="S113" s="1"/>
      <c r="T113" s="1"/>
      <c r="U113" s="1"/>
      <c r="V113" s="1"/>
      <c r="W113" s="1"/>
      <c r="X113" s="1"/>
      <c r="Y113" s="1"/>
      <c r="Z113" s="1"/>
    </row>
    <row r="114" ht="14.25" customHeight="1">
      <c r="A114" s="1"/>
      <c r="B114" s="1"/>
      <c r="C114" s="1"/>
      <c r="D114" s="1"/>
      <c r="E114" s="1"/>
      <c r="F114" s="1"/>
      <c r="G114" s="1"/>
      <c r="H114" s="1"/>
      <c r="I114" s="1"/>
      <c r="J114" s="1"/>
      <c r="K114" s="1"/>
      <c r="L114" s="91"/>
      <c r="M114" s="1"/>
      <c r="N114" s="1"/>
      <c r="O114" s="1"/>
      <c r="P114" s="1"/>
      <c r="Q114" s="1"/>
      <c r="R114" s="1"/>
      <c r="S114" s="1"/>
      <c r="T114" s="1"/>
      <c r="U114" s="1"/>
      <c r="V114" s="1"/>
      <c r="W114" s="1"/>
      <c r="X114" s="1"/>
      <c r="Y114" s="1"/>
      <c r="Z114" s="1"/>
    </row>
    <row r="115" ht="14.25" customHeight="1">
      <c r="A115" s="1"/>
      <c r="B115" s="1"/>
      <c r="C115" s="1"/>
      <c r="D115" s="1"/>
      <c r="E115" s="48"/>
      <c r="F115" s="1"/>
      <c r="G115" s="1"/>
      <c r="H115" s="1"/>
      <c r="I115" s="1"/>
      <c r="J115" s="1"/>
      <c r="K115" s="1"/>
      <c r="L115" s="91"/>
      <c r="M115" s="1"/>
      <c r="N115" s="100"/>
      <c r="O115" s="101"/>
      <c r="P115" s="1"/>
      <c r="Q115" s="1"/>
      <c r="R115" s="1"/>
      <c r="S115" s="1"/>
      <c r="T115" s="1"/>
      <c r="U115" s="1"/>
      <c r="V115" s="1"/>
      <c r="W115" s="1"/>
      <c r="X115" s="1"/>
      <c r="Y115" s="1"/>
      <c r="Z115" s="1"/>
    </row>
    <row r="11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ht="14.25" customHeight="1">
      <c r="A119" s="1"/>
      <c r="B119" s="1"/>
      <c r="C119" s="1"/>
      <c r="D119" s="48"/>
      <c r="E119" s="1"/>
      <c r="F119" s="1"/>
      <c r="G119" s="1"/>
      <c r="H119" s="1"/>
      <c r="I119" s="1"/>
      <c r="J119" s="1"/>
      <c r="K119" s="1"/>
      <c r="L119" s="1"/>
      <c r="M119" s="1"/>
      <c r="N119" s="1"/>
      <c r="O119" s="1"/>
      <c r="P119" s="1"/>
      <c r="Q119" s="1"/>
      <c r="R119" s="1"/>
      <c r="S119" s="1"/>
      <c r="T119" s="1"/>
      <c r="U119" s="1"/>
      <c r="V119" s="1"/>
      <c r="W119" s="1"/>
      <c r="X119" s="1"/>
      <c r="Y119" s="1"/>
      <c r="Z119" s="1"/>
    </row>
    <row r="120"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29">
    <mergeCell ref="L38:U39"/>
    <mergeCell ref="L40:U40"/>
    <mergeCell ref="B48:H49"/>
    <mergeCell ref="B50:H50"/>
    <mergeCell ref="B51:H53"/>
    <mergeCell ref="B54:H54"/>
    <mergeCell ref="B55:H55"/>
    <mergeCell ref="B56:H56"/>
    <mergeCell ref="B57:H57"/>
    <mergeCell ref="B58:H58"/>
    <mergeCell ref="B59:H59"/>
    <mergeCell ref="B60:H60"/>
    <mergeCell ref="B94:D94"/>
    <mergeCell ref="B95:D95"/>
    <mergeCell ref="B103:D103"/>
    <mergeCell ref="B104:D104"/>
    <mergeCell ref="B105:D105"/>
    <mergeCell ref="B106:D106"/>
    <mergeCell ref="B107:D107"/>
    <mergeCell ref="B108:D108"/>
    <mergeCell ref="B109:D109"/>
    <mergeCell ref="B110:D110"/>
    <mergeCell ref="B96:D96"/>
    <mergeCell ref="B97:D97"/>
    <mergeCell ref="B98:D98"/>
    <mergeCell ref="B99:D99"/>
    <mergeCell ref="B100:D100"/>
    <mergeCell ref="B101:D101"/>
    <mergeCell ref="B102:D102"/>
  </mergeCells>
  <hyperlinks>
    <hyperlink r:id="rId1" ref="L40"/>
  </hyperlinks>
  <printOptions/>
  <pageMargins bottom="0.75" footer="0.0" header="0.0" left="0.7" right="0.7" top="0.75"/>
  <pageSetup paperSize="9" orientation="landscape"/>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71"/>
    <col customWidth="1" min="2" max="2" width="10.86"/>
    <col customWidth="1" min="3" max="3" width="12.29"/>
    <col customWidth="1" min="4" max="4" width="8.71"/>
    <col customWidth="1" min="5" max="5" width="10.71"/>
    <col customWidth="1" min="6" max="6" width="10.0"/>
    <col customWidth="1" min="7" max="7" width="10.14"/>
    <col customWidth="1" min="8" max="9" width="8.71"/>
    <col customWidth="1" min="10" max="10" width="11.86"/>
    <col customWidth="1" min="11" max="11" width="10.71"/>
    <col customWidth="1" min="12" max="12" width="3.43"/>
    <col customWidth="1" min="13" max="13" width="8.71"/>
    <col customWidth="1" min="14" max="14" width="22.43"/>
    <col customWidth="1" min="15" max="15" width="6.43"/>
    <col customWidth="1" min="16" max="16" width="10.86"/>
    <col customWidth="1" min="17" max="17" width="6.29"/>
    <col customWidth="1" min="18" max="18" width="6.43"/>
    <col customWidth="1" min="19" max="26" width="8.71"/>
  </cols>
  <sheetData>
    <row r="1" ht="14.25" customHeight="1"/>
    <row r="2" ht="14.25" customHeight="1"/>
    <row r="3" ht="14.25" customHeight="1">
      <c r="A3" s="106" t="s">
        <v>181</v>
      </c>
      <c r="B3" s="106" t="s">
        <v>182</v>
      </c>
      <c r="H3" s="107" t="s">
        <v>183</v>
      </c>
      <c r="I3" s="108"/>
      <c r="J3" s="108"/>
      <c r="K3" s="108"/>
      <c r="L3" s="109"/>
      <c r="M3" s="110"/>
      <c r="N3" s="110"/>
      <c r="O3" s="110"/>
    </row>
    <row r="4" ht="14.25" customHeight="1">
      <c r="B4" s="111"/>
      <c r="C4" s="112"/>
      <c r="D4" s="113" t="s">
        <v>184</v>
      </c>
      <c r="E4" s="113" t="s">
        <v>185</v>
      </c>
      <c r="F4" s="114" t="s">
        <v>186</v>
      </c>
      <c r="H4" s="115"/>
      <c r="L4" s="116"/>
      <c r="M4" s="117"/>
      <c r="N4" s="117"/>
    </row>
    <row r="5" ht="14.25" customHeight="1">
      <c r="B5" s="118" t="s">
        <v>187</v>
      </c>
      <c r="C5" s="119" t="s">
        <v>188</v>
      </c>
      <c r="D5" s="120">
        <v>2.7</v>
      </c>
      <c r="E5" s="121">
        <v>4000.0</v>
      </c>
      <c r="F5" s="122">
        <f t="shared" ref="F5:F6" si="1">D5*E5*3.6</f>
        <v>38880</v>
      </c>
      <c r="H5" s="115"/>
      <c r="L5" s="116"/>
      <c r="M5" s="121"/>
      <c r="N5" s="123"/>
    </row>
    <row r="6" ht="14.25" customHeight="1">
      <c r="B6" s="118" t="s">
        <v>187</v>
      </c>
      <c r="C6" s="119" t="s">
        <v>189</v>
      </c>
      <c r="D6" s="120">
        <v>2.7</v>
      </c>
      <c r="E6" s="121">
        <v>1000.0</v>
      </c>
      <c r="F6" s="122">
        <f t="shared" si="1"/>
        <v>9720</v>
      </c>
      <c r="H6" s="115"/>
      <c r="L6" s="116"/>
      <c r="M6" s="121"/>
      <c r="N6" s="123"/>
    </row>
    <row r="7" ht="14.25" customHeight="1">
      <c r="B7" s="118" t="s">
        <v>190</v>
      </c>
      <c r="C7" s="119" t="s">
        <v>191</v>
      </c>
      <c r="D7" s="120"/>
      <c r="E7" s="121">
        <v>0.0</v>
      </c>
      <c r="F7" s="122">
        <v>0.0</v>
      </c>
      <c r="H7" s="115"/>
      <c r="L7" s="116"/>
      <c r="M7" s="124"/>
      <c r="N7" s="123"/>
    </row>
    <row r="8" ht="14.25" customHeight="1">
      <c r="B8" s="118" t="s">
        <v>192</v>
      </c>
      <c r="C8" s="119"/>
      <c r="D8" s="120">
        <f>SUM(D5:D7)</f>
        <v>5.4</v>
      </c>
      <c r="E8" s="124"/>
      <c r="F8" s="122"/>
      <c r="H8" s="115"/>
      <c r="L8" s="116"/>
      <c r="M8" s="124"/>
      <c r="N8" s="123"/>
      <c r="Q8" s="125"/>
    </row>
    <row r="9" ht="14.25" customHeight="1">
      <c r="B9" s="126" t="s">
        <v>193</v>
      </c>
      <c r="C9" s="127"/>
      <c r="D9" s="128"/>
      <c r="E9" s="128"/>
      <c r="F9" s="129">
        <f>SUM(F5:F7)</f>
        <v>48600</v>
      </c>
      <c r="G9" s="130"/>
      <c r="H9" s="115"/>
      <c r="L9" s="116"/>
      <c r="M9" s="124"/>
      <c r="N9" s="123"/>
      <c r="P9" s="123"/>
      <c r="Q9" s="124"/>
    </row>
    <row r="10" ht="14.25" customHeight="1">
      <c r="H10" s="131"/>
      <c r="I10" s="132"/>
      <c r="J10" s="132"/>
      <c r="K10" s="132"/>
      <c r="L10" s="133"/>
      <c r="M10" s="110"/>
      <c r="N10" s="110"/>
      <c r="O10" s="124"/>
      <c r="P10" s="110"/>
      <c r="Q10" s="110"/>
    </row>
    <row r="11" ht="14.25" customHeight="1">
      <c r="H11" s="134"/>
      <c r="I11" s="134"/>
      <c r="J11" s="134"/>
      <c r="K11" s="134"/>
      <c r="L11" s="134"/>
      <c r="M11" s="110"/>
      <c r="N11" s="110"/>
      <c r="O11" s="124"/>
      <c r="P11" s="110"/>
      <c r="Q11" s="110"/>
    </row>
    <row r="12" ht="14.25" customHeight="1">
      <c r="A12" s="106" t="s">
        <v>181</v>
      </c>
      <c r="B12" s="135" t="s">
        <v>194</v>
      </c>
      <c r="Q12" s="123"/>
    </row>
    <row r="13" ht="14.25" customHeight="1">
      <c r="B13" s="135" t="s">
        <v>195</v>
      </c>
      <c r="Q13" s="123"/>
    </row>
    <row r="14" ht="14.25" customHeight="1">
      <c r="B14" s="136" t="s">
        <v>196</v>
      </c>
      <c r="Q14" s="123"/>
      <c r="R14" s="123"/>
    </row>
    <row r="15" ht="14.25" customHeight="1">
      <c r="Q15" s="123"/>
    </row>
    <row r="16" ht="14.25" customHeight="1">
      <c r="A16" s="106" t="s">
        <v>181</v>
      </c>
      <c r="B16" s="136" t="s">
        <v>197</v>
      </c>
    </row>
    <row r="17" ht="14.25" customHeight="1">
      <c r="B17" s="135" t="s">
        <v>198</v>
      </c>
      <c r="O17" s="134"/>
    </row>
    <row r="18" ht="14.25" customHeight="1"/>
    <row r="19" ht="14.25" customHeight="1">
      <c r="A19" s="106" t="s">
        <v>181</v>
      </c>
      <c r="B19" s="135" t="s">
        <v>199</v>
      </c>
    </row>
    <row r="20" ht="14.25" customHeight="1">
      <c r="B20" s="135" t="s">
        <v>200</v>
      </c>
    </row>
    <row r="21" ht="14.25" customHeight="1">
      <c r="B21" s="135" t="s">
        <v>201</v>
      </c>
    </row>
    <row r="22" ht="14.25" customHeight="1">
      <c r="B22" s="135" t="s">
        <v>202</v>
      </c>
    </row>
    <row r="23" ht="14.25" customHeight="1">
      <c r="B23" s="135" t="s">
        <v>203</v>
      </c>
    </row>
    <row r="24" ht="14.25" customHeight="1"/>
    <row r="25" ht="14.25" customHeight="1">
      <c r="A25" s="106" t="s">
        <v>181</v>
      </c>
      <c r="B25" s="136" t="s">
        <v>204</v>
      </c>
    </row>
    <row r="26" ht="14.25" customHeight="1">
      <c r="B26" s="135" t="s">
        <v>205</v>
      </c>
    </row>
    <row r="27" ht="14.25" customHeight="1">
      <c r="B27" s="135" t="s">
        <v>206</v>
      </c>
    </row>
    <row r="28" ht="14.25" customHeight="1">
      <c r="B28" s="135" t="s">
        <v>207</v>
      </c>
    </row>
    <row r="29" ht="14.25" customHeight="1">
      <c r="B29" s="135" t="s">
        <v>208</v>
      </c>
    </row>
    <row r="30" ht="14.25" customHeight="1"/>
    <row r="31" ht="14.25" customHeight="1">
      <c r="A31" s="106" t="s">
        <v>181</v>
      </c>
      <c r="B31" s="106" t="s">
        <v>209</v>
      </c>
    </row>
    <row r="32" ht="14.25" customHeight="1">
      <c r="B32" s="135" t="s">
        <v>210</v>
      </c>
    </row>
    <row r="33" ht="14.25" customHeight="1">
      <c r="B33" s="135" t="s">
        <v>211</v>
      </c>
    </row>
    <row r="34" ht="14.25" customHeight="1">
      <c r="B34" s="135" t="s">
        <v>212</v>
      </c>
    </row>
    <row r="35" ht="14.25" customHeight="1">
      <c r="B35" s="136" t="s">
        <v>213</v>
      </c>
      <c r="K35" s="137"/>
    </row>
    <row r="36" ht="14.25" customHeight="1"/>
    <row r="37" ht="14.25" customHeight="1">
      <c r="A37" s="138" t="s">
        <v>181</v>
      </c>
      <c r="B37" s="136" t="s">
        <v>214</v>
      </c>
    </row>
    <row r="38" ht="14.25" customHeight="1"/>
    <row r="39" ht="14.25" customHeight="1">
      <c r="A39" s="106" t="s">
        <v>181</v>
      </c>
      <c r="B39" s="135" t="s">
        <v>215</v>
      </c>
    </row>
    <row r="40" ht="14.25" customHeight="1">
      <c r="B40" s="135" t="s">
        <v>216</v>
      </c>
    </row>
    <row r="41" ht="14.25" customHeight="1">
      <c r="B41" s="135" t="s">
        <v>217</v>
      </c>
      <c r="M41" s="139" t="s">
        <v>218</v>
      </c>
      <c r="N41" s="140"/>
      <c r="O41" s="140"/>
      <c r="P41" s="140"/>
      <c r="Q41" s="141"/>
    </row>
    <row r="42" ht="14.25" customHeight="1">
      <c r="B42" s="135" t="s">
        <v>219</v>
      </c>
      <c r="M42" s="142" t="s">
        <v>220</v>
      </c>
      <c r="P42" s="121">
        <f>3.14*25*12.5</f>
        <v>981.25</v>
      </c>
      <c r="Q42" s="119" t="s">
        <v>221</v>
      </c>
      <c r="R42" s="135" t="s">
        <v>222</v>
      </c>
    </row>
    <row r="43" ht="14.25" customHeight="1">
      <c r="M43" s="142" t="s">
        <v>223</v>
      </c>
      <c r="P43" s="121"/>
      <c r="Q43" s="119"/>
    </row>
    <row r="44" ht="14.25" customHeight="1">
      <c r="M44" s="142" t="s">
        <v>224</v>
      </c>
      <c r="P44" s="121">
        <f>4.2*40*P42/1000</f>
        <v>164.85</v>
      </c>
      <c r="Q44" s="119" t="s">
        <v>26</v>
      </c>
    </row>
    <row r="45" ht="14.25" customHeight="1">
      <c r="B45" s="139" t="s">
        <v>225</v>
      </c>
      <c r="C45" s="140"/>
      <c r="D45" s="140"/>
      <c r="E45" s="140"/>
      <c r="F45" s="140"/>
      <c r="G45" s="140"/>
      <c r="H45" s="140"/>
      <c r="I45" s="140"/>
      <c r="J45" s="140"/>
      <c r="K45" s="141"/>
      <c r="M45" s="142" t="s">
        <v>226</v>
      </c>
      <c r="P45" s="121">
        <f>4.2*80*P42/1000</f>
        <v>329.7</v>
      </c>
      <c r="Q45" s="119" t="s">
        <v>26</v>
      </c>
    </row>
    <row r="46" ht="14.25" customHeight="1">
      <c r="B46" s="142" t="s">
        <v>227</v>
      </c>
      <c r="C46" s="124"/>
      <c r="D46" s="124"/>
      <c r="E46" s="124">
        <v>1488.0</v>
      </c>
      <c r="F46" s="124" t="s">
        <v>228</v>
      </c>
      <c r="G46" s="124"/>
      <c r="H46" s="124"/>
      <c r="I46" s="124"/>
      <c r="J46" s="124"/>
      <c r="K46" s="119"/>
      <c r="M46" s="142" t="s">
        <v>229</v>
      </c>
      <c r="P46" s="121">
        <v>500.0</v>
      </c>
      <c r="Q46" s="119" t="s">
        <v>230</v>
      </c>
    </row>
    <row r="47" ht="14.25" customHeight="1">
      <c r="B47" s="142" t="s">
        <v>231</v>
      </c>
      <c r="C47" s="124"/>
      <c r="D47" s="124"/>
      <c r="E47" s="124"/>
      <c r="F47" s="124"/>
      <c r="G47" s="143">
        <f>E46*1.02</f>
        <v>1517.76</v>
      </c>
      <c r="H47" s="124" t="s">
        <v>221</v>
      </c>
      <c r="I47" s="124" t="s">
        <v>232</v>
      </c>
      <c r="J47" s="124"/>
      <c r="K47" s="144">
        <f>G47*215</f>
        <v>326318.4</v>
      </c>
      <c r="M47" s="145" t="s">
        <v>233</v>
      </c>
      <c r="N47" s="146"/>
      <c r="O47" s="146"/>
      <c r="P47" s="147">
        <f>P42*P46</f>
        <v>490625</v>
      </c>
      <c r="Q47" s="148" t="s">
        <v>61</v>
      </c>
    </row>
    <row r="48" ht="14.25" customHeight="1">
      <c r="B48" s="142" t="s">
        <v>234</v>
      </c>
      <c r="C48" s="143"/>
      <c r="D48" s="124"/>
      <c r="E48" s="121">
        <v>990846.0</v>
      </c>
      <c r="F48" s="124" t="s">
        <v>235</v>
      </c>
      <c r="G48" s="121">
        <f>E48+K47</f>
        <v>1317164.4</v>
      </c>
      <c r="H48" s="124" t="s">
        <v>221</v>
      </c>
      <c r="I48" s="124"/>
      <c r="J48" s="124"/>
      <c r="K48" s="119"/>
      <c r="M48" s="135" t="s">
        <v>236</v>
      </c>
    </row>
    <row r="49" ht="14.25" customHeight="1">
      <c r="B49" s="149" t="s">
        <v>237</v>
      </c>
      <c r="C49" s="146"/>
      <c r="D49" s="146"/>
      <c r="E49" s="146"/>
      <c r="F49" s="146"/>
      <c r="G49" s="146"/>
      <c r="H49" s="146"/>
      <c r="I49" s="146"/>
      <c r="J49" s="146"/>
      <c r="K49" s="148"/>
    </row>
    <row r="50" ht="14.25" customHeight="1">
      <c r="B50" s="140"/>
      <c r="C50" s="140"/>
      <c r="D50" s="150"/>
      <c r="E50" s="140"/>
      <c r="F50" s="140"/>
      <c r="G50" s="150"/>
      <c r="H50" s="140"/>
      <c r="I50" s="140"/>
      <c r="J50" s="140"/>
      <c r="K50" s="140"/>
    </row>
    <row r="51" ht="14.25" customHeight="1">
      <c r="B51" s="124"/>
      <c r="C51" s="124"/>
      <c r="D51" s="124"/>
      <c r="E51" s="124"/>
      <c r="F51" s="124"/>
      <c r="G51" s="124"/>
      <c r="H51" s="124"/>
      <c r="I51" s="124"/>
      <c r="J51" s="124"/>
      <c r="K51" s="124"/>
      <c r="M51" s="151" t="s">
        <v>238</v>
      </c>
      <c r="N51" s="152"/>
      <c r="O51" s="152"/>
      <c r="P51" s="152" t="s">
        <v>239</v>
      </c>
      <c r="Q51" s="152"/>
      <c r="R51" s="152"/>
      <c r="S51" s="152"/>
      <c r="T51" s="152"/>
      <c r="U51" s="153"/>
    </row>
    <row r="52" ht="14.25" customHeight="1">
      <c r="B52" s="154" t="s">
        <v>240</v>
      </c>
      <c r="C52" s="140"/>
      <c r="D52" s="141"/>
      <c r="E52" s="124"/>
      <c r="F52" s="124"/>
      <c r="G52" s="124"/>
      <c r="H52" s="124"/>
      <c r="I52" s="124"/>
      <c r="J52" s="124"/>
      <c r="K52" s="124"/>
      <c r="M52" s="118" t="s">
        <v>241</v>
      </c>
      <c r="O52" s="135">
        <v>10.0</v>
      </c>
      <c r="P52" s="135" t="s">
        <v>33</v>
      </c>
      <c r="Q52" s="135" t="s">
        <v>242</v>
      </c>
      <c r="R52" s="135">
        <v>0.6</v>
      </c>
      <c r="S52" s="135" t="s">
        <v>243</v>
      </c>
      <c r="T52" s="135">
        <f t="shared" ref="T52:T53" si="2">O52*R52</f>
        <v>6</v>
      </c>
      <c r="U52" s="155" t="s">
        <v>244</v>
      </c>
    </row>
    <row r="53" ht="14.25" customHeight="1">
      <c r="B53" s="145" t="s">
        <v>245</v>
      </c>
      <c r="C53" s="156">
        <f>(1000000000/3600)/1000</f>
        <v>277.7777778</v>
      </c>
      <c r="D53" s="148" t="s">
        <v>246</v>
      </c>
      <c r="E53" s="124"/>
      <c r="F53" s="124"/>
      <c r="G53" s="124"/>
      <c r="H53" s="124"/>
      <c r="I53" s="124"/>
      <c r="J53" s="124"/>
      <c r="K53" s="124"/>
      <c r="M53" s="118" t="s">
        <v>247</v>
      </c>
      <c r="O53" s="135">
        <v>25.0</v>
      </c>
      <c r="P53" s="135" t="s">
        <v>33</v>
      </c>
      <c r="Q53" s="135" t="s">
        <v>242</v>
      </c>
      <c r="R53" s="135">
        <v>0.02</v>
      </c>
      <c r="S53" s="135" t="s">
        <v>243</v>
      </c>
      <c r="T53" s="135">
        <f t="shared" si="2"/>
        <v>0.5</v>
      </c>
      <c r="U53" s="155" t="s">
        <v>244</v>
      </c>
    </row>
    <row r="54" ht="14.25" customHeight="1">
      <c r="B54" s="124"/>
      <c r="C54" s="121"/>
      <c r="D54" s="124"/>
      <c r="E54" s="124"/>
      <c r="F54" s="124"/>
      <c r="G54" s="124"/>
      <c r="H54" s="124"/>
      <c r="I54" s="124"/>
      <c r="J54" s="124"/>
      <c r="K54" s="124"/>
      <c r="M54" s="118"/>
      <c r="S54" s="135" t="s">
        <v>248</v>
      </c>
      <c r="T54" s="157">
        <f>SUM(T52:T53)</f>
        <v>6.5</v>
      </c>
      <c r="U54" s="158" t="s">
        <v>244</v>
      </c>
    </row>
    <row r="55" ht="14.25" customHeight="1">
      <c r="B55" s="124"/>
      <c r="C55" s="121"/>
      <c r="D55" s="124"/>
      <c r="E55" s="124"/>
      <c r="F55" s="124"/>
      <c r="G55" s="124"/>
      <c r="H55" s="124"/>
      <c r="I55" s="124"/>
      <c r="J55" s="124"/>
      <c r="K55" s="124"/>
      <c r="M55" s="118" t="s">
        <v>249</v>
      </c>
      <c r="U55" s="155"/>
    </row>
    <row r="56" ht="14.25" customHeight="1">
      <c r="M56" s="118" t="s">
        <v>250</v>
      </c>
      <c r="O56" s="120"/>
      <c r="T56" s="159">
        <f>'Warmtenetplan versie 2'!E19/3</f>
        <v>14.33333333</v>
      </c>
      <c r="U56" s="155" t="s">
        <v>244</v>
      </c>
    </row>
    <row r="57" ht="14.25" customHeight="1">
      <c r="M57" s="126" t="s">
        <v>251</v>
      </c>
      <c r="N57" s="128"/>
      <c r="O57" s="128"/>
      <c r="P57" s="128"/>
      <c r="Q57" s="128"/>
      <c r="R57" s="128"/>
      <c r="S57" s="128"/>
      <c r="T57" s="160">
        <f>T56*0.46</f>
        <v>6.593333333</v>
      </c>
      <c r="U57" s="161" t="s">
        <v>244</v>
      </c>
    </row>
    <row r="58" ht="14.25" customHeight="1">
      <c r="N58" s="143"/>
    </row>
    <row r="59" ht="14.25" customHeight="1"/>
    <row r="60" ht="14.25" customHeight="1">
      <c r="M60" s="124"/>
    </row>
    <row r="61" ht="14.25" customHeight="1">
      <c r="M61" s="124"/>
      <c r="T61" s="121"/>
      <c r="U61" s="123"/>
    </row>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2">
    <mergeCell ref="H3:L10"/>
    <mergeCell ref="O17:S24"/>
  </mergeCells>
  <printOptions/>
  <pageMargins bottom="0.75" footer="0.0" header="0.0" left="0.7" right="0.7"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2021-05-30T20:48:20Z</dcterms:created>
  <dc:creator>fokke</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0x01010062A5F24BCE392441AC1DAAF3F89A562C</vt:lpwstr>
  </property>
</Properties>
</file>